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Bilena Almeida\Documents\Escola\4 ano\Introdução á investigação operaional\"/>
    </mc:Choice>
  </mc:AlternateContent>
  <bookViews>
    <workbookView xWindow="75" yWindow="45" windowWidth="16065" windowHeight="7695" tabRatio="874" activeTab="1"/>
  </bookViews>
  <sheets>
    <sheet name="Contents" sheetId="11" r:id="rId1"/>
    <sheet name="M|M|s" sheetId="1" r:id="rId2"/>
    <sheet name="Finite Queue" sheetId="7" r:id="rId3"/>
    <sheet name="Finite Calling Population" sheetId="8" r:id="rId4"/>
    <sheet name="M|G|1" sheetId="2" r:id="rId5"/>
    <sheet name="M|D|1" sheetId="3" r:id="rId6"/>
    <sheet name="M|E|1" sheetId="4" r:id="rId7"/>
    <sheet name="Nonpreemptive Priorities" sheetId="5" r:id="rId8"/>
    <sheet name="Preemptive Priorities" sheetId="6" r:id="rId9"/>
    <sheet name="Sheet1" sheetId="12" r:id="rId10"/>
    <sheet name="Module1" sheetId="9" state="veryHidden" r:id="rId11"/>
  </sheets>
  <definedNames>
    <definedName name="beta">#REF!</definedName>
    <definedName name="InitialTrend">#REF!</definedName>
    <definedName name="sencount" hidden="1">4</definedName>
    <definedName name="sencount2" hidden="1">3</definedName>
  </definedNames>
  <calcPr calcId="152511"/>
</workbook>
</file>

<file path=xl/calcChain.xml><?xml version="1.0" encoding="utf-8"?>
<calcChain xmlns="http://schemas.openxmlformats.org/spreadsheetml/2006/main">
  <c r="F6" i="12" l="1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" i="12"/>
  <c r="I3" i="12" l="1"/>
  <c r="H17" i="5"/>
  <c r="C13" i="5"/>
  <c r="C12" i="5"/>
  <c r="C11" i="5"/>
  <c r="C10" i="5"/>
  <c r="P10" i="1"/>
  <c r="P9" i="1"/>
  <c r="P8" i="1"/>
  <c r="P7" i="1"/>
  <c r="P6" i="1"/>
  <c r="N13" i="1"/>
  <c r="M13" i="1"/>
  <c r="G10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10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10" i="3"/>
  <c r="D10" i="3" s="1"/>
  <c r="G12" i="3"/>
  <c r="G10" i="4"/>
  <c r="D10" i="4" s="1"/>
  <c r="G10" i="2"/>
  <c r="G12" i="2"/>
  <c r="G10" i="1"/>
  <c r="E10" i="1" s="1"/>
  <c r="B10" i="5"/>
  <c r="B11" i="5"/>
  <c r="B12" i="5"/>
  <c r="B13" i="5"/>
  <c r="B14" i="5"/>
  <c r="D14" i="5"/>
  <c r="E14" i="5"/>
  <c r="F14" i="5"/>
  <c r="G14" i="5"/>
  <c r="B10" i="6"/>
  <c r="F10" i="6"/>
  <c r="G10" i="6" s="1"/>
  <c r="E10" i="6" s="1"/>
  <c r="H10" i="6"/>
  <c r="B11" i="6"/>
  <c r="F11" i="6"/>
  <c r="G11" i="6" s="1"/>
  <c r="E11" i="6" s="1"/>
  <c r="H11" i="6"/>
  <c r="B12" i="6"/>
  <c r="F12" i="6"/>
  <c r="G12" i="6" s="1"/>
  <c r="E12" i="6" s="1"/>
  <c r="H12" i="6"/>
  <c r="B13" i="6"/>
  <c r="D13" i="6"/>
  <c r="E13" i="6"/>
  <c r="F13" i="6"/>
  <c r="G13" i="6"/>
  <c r="H13" i="6"/>
  <c r="B14" i="6"/>
  <c r="D14" i="6"/>
  <c r="E14" i="6"/>
  <c r="F14" i="6"/>
  <c r="G14" i="6"/>
  <c r="H14" i="6"/>
  <c r="C16" i="6"/>
  <c r="C15" i="6" s="1"/>
  <c r="E17" i="6"/>
  <c r="G12" i="7"/>
  <c r="G13" i="8"/>
  <c r="C16" i="5" l="1"/>
  <c r="C15" i="5" s="1"/>
  <c r="P11" i="1"/>
  <c r="G5" i="2"/>
  <c r="G4" i="2" s="1"/>
  <c r="G7" i="2" s="1"/>
  <c r="D11" i="2"/>
  <c r="D10" i="2"/>
  <c r="D11" i="3"/>
  <c r="G5" i="3"/>
  <c r="G4" i="3" s="1"/>
  <c r="G7" i="3" s="1"/>
  <c r="G12" i="4"/>
  <c r="I27" i="12"/>
  <c r="K27" i="12" s="1"/>
  <c r="I42" i="12"/>
  <c r="K42" i="12" s="1"/>
  <c r="I30" i="12"/>
  <c r="K30" i="12" s="1"/>
  <c r="I45" i="12"/>
  <c r="K45" i="12" s="1"/>
  <c r="I52" i="12"/>
  <c r="K52" i="12" s="1"/>
  <c r="E9" i="1"/>
  <c r="G5" i="4"/>
  <c r="G4" i="4" s="1"/>
  <c r="G7" i="4" s="1"/>
  <c r="D11" i="4"/>
  <c r="G8" i="4"/>
  <c r="I17" i="12"/>
  <c r="K17" i="12" s="1"/>
  <c r="I36" i="12"/>
  <c r="K36" i="12" s="1"/>
  <c r="I23" i="12"/>
  <c r="K23" i="12" s="1"/>
  <c r="I7" i="12"/>
  <c r="K7" i="12" s="1"/>
  <c r="I20" i="12"/>
  <c r="K20" i="12" s="1"/>
  <c r="I12" i="12"/>
  <c r="K12" i="12" s="1"/>
  <c r="I35" i="12"/>
  <c r="K35" i="12" s="1"/>
  <c r="G14" i="8"/>
  <c r="G16" i="8"/>
  <c r="G18" i="8"/>
  <c r="G15" i="8"/>
  <c r="G17" i="8"/>
  <c r="G14" i="7"/>
  <c r="G16" i="7"/>
  <c r="G13" i="7"/>
  <c r="G15" i="7"/>
  <c r="D12" i="6"/>
  <c r="D11" i="6"/>
  <c r="D10" i="6"/>
  <c r="E16" i="6"/>
  <c r="F13" i="5"/>
  <c r="F12" i="5"/>
  <c r="F10" i="5"/>
  <c r="G5" i="8"/>
  <c r="G5" i="7"/>
  <c r="F11" i="5"/>
  <c r="G12" i="1"/>
  <c r="G13" i="1" l="1"/>
  <c r="G16" i="1" s="1"/>
  <c r="G19" i="1" s="1"/>
  <c r="G22" i="1" s="1"/>
  <c r="G25" i="1" s="1"/>
  <c r="G28" i="1" s="1"/>
  <c r="G31" i="1" s="1"/>
  <c r="G34" i="1" s="1"/>
  <c r="G37" i="1" s="1"/>
  <c r="G14" i="1"/>
  <c r="G17" i="1" s="1"/>
  <c r="G20" i="1" s="1"/>
  <c r="G23" i="1" s="1"/>
  <c r="G26" i="1" s="1"/>
  <c r="G29" i="1" s="1"/>
  <c r="G32" i="1" s="1"/>
  <c r="G35" i="1" s="1"/>
  <c r="G5" i="1"/>
  <c r="G8" i="1" s="1"/>
  <c r="G15" i="1"/>
  <c r="C8" i="1"/>
  <c r="D13" i="5"/>
  <c r="G13" i="5"/>
  <c r="E13" i="5" s="1"/>
  <c r="E16" i="5"/>
  <c r="E17" i="5"/>
  <c r="G12" i="5"/>
  <c r="E12" i="5" s="1"/>
  <c r="D12" i="5"/>
  <c r="G8" i="2"/>
  <c r="G8" i="3"/>
  <c r="G18" i="1"/>
  <c r="G21" i="1" s="1"/>
  <c r="G24" i="1" s="1"/>
  <c r="G27" i="1" s="1"/>
  <c r="G30" i="1" s="1"/>
  <c r="G33" i="1" s="1"/>
  <c r="G36" i="1" s="1"/>
  <c r="C11" i="1"/>
  <c r="I31" i="12"/>
  <c r="K31" i="12" s="1"/>
  <c r="I8" i="12"/>
  <c r="K8" i="12" s="1"/>
  <c r="I16" i="12"/>
  <c r="K16" i="12" s="1"/>
  <c r="I24" i="12"/>
  <c r="K24" i="12" s="1"/>
  <c r="I15" i="12"/>
  <c r="K15" i="12" s="1"/>
  <c r="I28" i="12"/>
  <c r="K28" i="12" s="1"/>
  <c r="I9" i="12"/>
  <c r="K9" i="12" s="1"/>
  <c r="I25" i="12"/>
  <c r="K25" i="12" s="1"/>
  <c r="I41" i="12"/>
  <c r="K41" i="12" s="1"/>
  <c r="I49" i="12"/>
  <c r="K49" i="12" s="1"/>
  <c r="I38" i="12"/>
  <c r="K38" i="12" s="1"/>
  <c r="I48" i="12"/>
  <c r="K48" i="12" s="1"/>
  <c r="I29" i="12"/>
  <c r="K29" i="12" s="1"/>
  <c r="I33" i="12"/>
  <c r="K33" i="12" s="1"/>
  <c r="I37" i="12"/>
  <c r="K37" i="12" s="1"/>
  <c r="I6" i="12"/>
  <c r="K6" i="12" s="1"/>
  <c r="I10" i="12"/>
  <c r="K10" i="12" s="1"/>
  <c r="I14" i="12"/>
  <c r="K14" i="12" s="1"/>
  <c r="I18" i="12"/>
  <c r="K18" i="12" s="1"/>
  <c r="I22" i="12"/>
  <c r="K22" i="12" s="1"/>
  <c r="I26" i="12"/>
  <c r="K26" i="12" s="1"/>
  <c r="I11" i="12"/>
  <c r="K11" i="12" s="1"/>
  <c r="I19" i="12"/>
  <c r="K19" i="12" s="1"/>
  <c r="I5" i="12"/>
  <c r="K5" i="12" s="1"/>
  <c r="I32" i="12"/>
  <c r="K32" i="12" s="1"/>
  <c r="I13" i="12"/>
  <c r="K13" i="12" s="1"/>
  <c r="I21" i="12"/>
  <c r="K21" i="12" s="1"/>
  <c r="I44" i="12"/>
  <c r="K44" i="12" s="1"/>
  <c r="I39" i="12"/>
  <c r="K39" i="12" s="1"/>
  <c r="I43" i="12"/>
  <c r="K43" i="12" s="1"/>
  <c r="I47" i="12"/>
  <c r="K47" i="12" s="1"/>
  <c r="I51" i="12"/>
  <c r="K51" i="12" s="1"/>
  <c r="I34" i="12"/>
  <c r="K34" i="12" s="1"/>
  <c r="I40" i="12"/>
  <c r="K40" i="12" s="1"/>
  <c r="I46" i="12"/>
  <c r="K46" i="12" s="1"/>
  <c r="I50" i="12"/>
  <c r="K50" i="12" s="1"/>
  <c r="G11" i="5"/>
  <c r="E11" i="5" s="1"/>
  <c r="D11" i="5"/>
  <c r="G8" i="7"/>
  <c r="D10" i="5"/>
  <c r="G10" i="5"/>
  <c r="E10" i="5" s="1"/>
  <c r="G4" i="1"/>
  <c r="G7" i="1" s="1"/>
  <c r="G4" i="7"/>
  <c r="G4" i="8"/>
  <c r="P49" i="12" l="1"/>
  <c r="P50" i="12" s="1"/>
  <c r="P51" i="12" s="1"/>
  <c r="P53" i="12" s="1"/>
  <c r="G11" i="8"/>
  <c r="G7" i="8"/>
  <c r="G8" i="8"/>
  <c r="G7" i="7"/>
</calcChain>
</file>

<file path=xl/sharedStrings.xml><?xml version="1.0" encoding="utf-8"?>
<sst xmlns="http://schemas.openxmlformats.org/spreadsheetml/2006/main" count="288" uniqueCount="139">
  <si>
    <t>Data</t>
  </si>
  <si>
    <t>Results</t>
  </si>
  <si>
    <t>l =</t>
  </si>
  <si>
    <t>L =</t>
  </si>
  <si>
    <t>m =</t>
  </si>
  <si>
    <t>s =</t>
  </si>
  <si>
    <t>(# servers)</t>
  </si>
  <si>
    <t>W =</t>
  </si>
  <si>
    <t>when t =</t>
  </si>
  <si>
    <t>r =</t>
  </si>
  <si>
    <t>1/m =</t>
  </si>
  <si>
    <t>(standard deviation)</t>
  </si>
  <si>
    <t>k =</t>
  </si>
  <si>
    <t>(shape parameter)</t>
  </si>
  <si>
    <t>N =</t>
  </si>
  <si>
    <t>(# of priority classes)</t>
  </si>
  <si>
    <t>L</t>
  </si>
  <si>
    <t>Lq</t>
  </si>
  <si>
    <t>W</t>
  </si>
  <si>
    <t>Wq</t>
  </si>
  <si>
    <t>K =</t>
  </si>
  <si>
    <t>(max customers)</t>
  </si>
  <si>
    <t>(size of population)</t>
  </si>
  <si>
    <t>(mean arrival rate)</t>
  </si>
  <si>
    <t>(mean service rate)</t>
  </si>
  <si>
    <t>(expected service time)</t>
  </si>
  <si>
    <t>Template for M/M/s Queueing Model</t>
  </si>
  <si>
    <t>Template for M/G/1 Queueing Model</t>
  </si>
  <si>
    <t>Template for M/D/1 Queueing Model</t>
  </si>
  <si>
    <t>Template for M/E/1 Queueing Model</t>
  </si>
  <si>
    <t>Template for M/M/s Nonpreemptive Priorities Queueing Model</t>
  </si>
  <si>
    <t>Template for M/M/s Preemptive Priorities Queueing Model</t>
  </si>
  <si>
    <t>Template for M/M/s Finite Queue Model</t>
  </si>
  <si>
    <t>Template for M/M/s Finite Calling Population Model</t>
  </si>
  <si>
    <r>
      <t>L</t>
    </r>
    <r>
      <rPr>
        <vertAlign val="subscript"/>
        <sz val="10"/>
        <rFont val="Helv"/>
      </rPr>
      <t>q</t>
    </r>
    <r>
      <rPr>
        <sz val="10"/>
        <rFont val="Helv"/>
      </rPr>
      <t xml:space="preserve"> =</t>
    </r>
  </si>
  <si>
    <r>
      <t>W</t>
    </r>
    <r>
      <rPr>
        <vertAlign val="subscript"/>
        <sz val="10"/>
        <rFont val="Helv"/>
      </rPr>
      <t>q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</si>
  <si>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0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</si>
  <si>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</si>
  <si>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2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</si>
  <si>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3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</si>
  <si>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4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</si>
  <si>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5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</si>
  <si>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6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</si>
  <si>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7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</si>
  <si>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8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</si>
  <si>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9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</si>
  <si>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10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</si>
  <si>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11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</si>
  <si>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12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</si>
  <si>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13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</si>
  <si>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14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</si>
  <si>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15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</si>
  <si>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16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</si>
  <si>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17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</si>
  <si>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18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</si>
  <si>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19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</si>
  <si>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20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</si>
  <si>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21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</si>
  <si>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22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</si>
  <si>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23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</si>
  <si>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24</t>
    </r>
    <r>
      <rPr>
        <sz val="10"/>
        <rFont val="Helv"/>
      </rPr>
      <t xml:space="preserve"> =</t>
    </r>
  </si>
  <si>
    <r>
      <t>P</t>
    </r>
    <r>
      <rPr>
        <vertAlign val="subscript"/>
        <sz val="10"/>
        <rFont val="Helv"/>
      </rPr>
      <t>25</t>
    </r>
    <r>
      <rPr>
        <sz val="10"/>
        <rFont val="Helv"/>
      </rPr>
      <t xml:space="preserve"> =</t>
    </r>
  </si>
  <si>
    <r>
      <t>l</t>
    </r>
    <r>
      <rPr>
        <vertAlign val="subscript"/>
        <sz val="10"/>
        <rFont val="Helv"/>
      </rPr>
      <t>i</t>
    </r>
  </si>
  <si>
    <r>
      <t>l</t>
    </r>
    <r>
      <rPr>
        <sz val="10"/>
        <rFont val="Helv"/>
      </rPr>
      <t>-bar =</t>
    </r>
  </si>
  <si>
    <t>Contents:</t>
  </si>
  <si>
    <t>Click on the tab below to select the worksheet of your choice.</t>
  </si>
  <si>
    <t>Template for M/M/s Model</t>
  </si>
  <si>
    <t>Template for M/G/1 Model</t>
  </si>
  <si>
    <t>Template for M/D/1 Model</t>
  </si>
  <si>
    <t>Template for M/E/1 Model</t>
  </si>
  <si>
    <t>Template for M/M/s Nonpreemptive Priorities Model</t>
  </si>
  <si>
    <t>Template for M/M/s Preemptive Priorities Model</t>
  </si>
  <si>
    <t>Ch. 17 - Queueing Theory</t>
  </si>
  <si>
    <t>(exponential parameter)</t>
  </si>
  <si>
    <r>
      <t>Pr(</t>
    </r>
    <r>
      <rPr>
        <sz val="10"/>
        <rFont val="Monotype Corsiva"/>
        <family val="4"/>
      </rPr>
      <t>W</t>
    </r>
    <r>
      <rPr>
        <sz val="10"/>
        <rFont val="Zapf Chancery"/>
      </rPr>
      <t xml:space="preserve"> </t>
    </r>
    <r>
      <rPr>
        <sz val="10"/>
        <rFont val="Helv"/>
      </rPr>
      <t>&gt; t) =</t>
    </r>
  </si>
  <si>
    <r>
      <t>Prob(</t>
    </r>
    <r>
      <rPr>
        <sz val="10"/>
        <rFont val="Monotype Corsiva"/>
        <family val="4"/>
      </rPr>
      <t>W</t>
    </r>
    <r>
      <rPr>
        <vertAlign val="subscript"/>
        <sz val="10"/>
        <rFont val="Helv"/>
      </rPr>
      <t xml:space="preserve">q </t>
    </r>
    <r>
      <rPr>
        <sz val="10"/>
        <rFont val="Helv"/>
      </rPr>
      <t>&gt; t) =</t>
    </r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</si>
  <si>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</si>
  <si>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</si>
  <si>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</si>
  <si>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</si>
  <si>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</si>
  <si>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</si>
  <si>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</si>
  <si>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</si>
  <si>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</si>
  <si>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</si>
  <si>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</si>
  <si>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</si>
  <si>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</si>
  <si>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</si>
  <si>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</si>
  <si>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</si>
  <si>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</si>
  <si>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</si>
  <si>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</si>
  <si>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</si>
  <si>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</si>
  <si>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</si>
  <si>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</si>
  <si>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</si>
  <si>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</si>
  <si>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</si>
  <si>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</si>
  <si>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</si>
  <si>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</si>
  <si>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</si>
  <si>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</si>
  <si>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</si>
  <si>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</si>
  <si>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</si>
  <si>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</si>
  <si>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</si>
  <si>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</si>
  <si>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n</t>
  </si>
  <si>
    <t>cn</t>
  </si>
  <si>
    <t>pn</t>
  </si>
  <si>
    <t>npn</t>
  </si>
  <si>
    <t>L/lambda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</si>
  <si>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</si>
  <si>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</si>
  <si>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</si>
  <si>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</si>
  <si>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</si>
  <si>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</si>
  <si>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</si>
  <si>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</si>
  <si>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</si>
  <si>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</si>
  <si>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</si>
  <si>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</si>
  <si>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W-Wo,3</t>
  </si>
  <si>
    <t>P0 =</t>
  </si>
  <si>
    <t>P1 =</t>
  </si>
  <si>
    <t>P2 =</t>
  </si>
  <si>
    <t>P3 =</t>
  </si>
  <si>
    <t>P4 =</t>
  </si>
  <si>
    <t>P5 =</t>
  </si>
  <si>
    <t>P6 =</t>
  </si>
  <si>
    <t>P7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</si>
</sst>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Geneva"/>
    </font>
    <font>
      <sz val="10"/>
      <name val="Symbol"/>
      <family val="1"/>
      <charset val="2"/>
    </font>
    <font>
      <b/>
      <sz val="12"/>
      <name val="Helv"/>
    </font>
    <font>
      <sz val="10"/>
      <name val="Helv"/>
    </font>
    <font>
      <b/>
      <sz val="10"/>
      <name val="Helv"/>
    </font>
    <font>
      <vertAlign val="subscript"/>
      <sz val="10"/>
      <name val="Helv"/>
    </font>
    <font>
      <sz val="10"/>
      <color indexed="8"/>
      <name val="Helv"/>
    </font>
    <font>
      <sz val="10"/>
      <color indexed="9"/>
      <name val="Helv"/>
    </font>
    <font>
      <sz val="10"/>
      <name val="Zapf Chancery"/>
    </font>
    <font>
      <b/>
      <sz val="12"/>
      <name val="Symbol"/>
      <family val="1"/>
      <charset val="2"/>
    </font>
    <font>
      <sz val="9"/>
      <name val="Geneva"/>
    </font>
    <font>
      <b/>
      <sz val="14"/>
      <color indexed="12"/>
      <name val="Helv"/>
    </font>
    <font>
      <b/>
      <sz val="12"/>
      <color indexed="20"/>
      <name val="Helv"/>
    </font>
    <font>
      <sz val="10"/>
      <name val="Monotype Corsiva"/>
      <family val="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24">
    <xf numFmtId="0" fontId="0" fillId="0" borderId="0" xfId="0"/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2" xfId="0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Continuous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/>
    <xf numFmtId="0" fontId="3" fillId="0" borderId="1" xfId="0" applyFont="1" applyFill="1" applyBorder="1" applyAlignment="1" applyProtection="1">
      <alignment horizontal="right"/>
    </xf>
    <xf numFmtId="0" fontId="3" fillId="3" borderId="7" xfId="0" applyFont="1" applyFill="1" applyBorder="1" applyProtection="1"/>
    <xf numFmtId="0" fontId="3" fillId="0" borderId="2" xfId="0" applyFont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8" xfId="0" applyFont="1" applyBorder="1" applyProtection="1"/>
    <xf numFmtId="0" fontId="3" fillId="0" borderId="2" xfId="0" applyFont="1" applyFill="1" applyBorder="1" applyAlignment="1" applyProtection="1">
      <alignment horizontal="right"/>
    </xf>
    <xf numFmtId="0" fontId="3" fillId="3" borderId="8" xfId="0" applyFont="1" applyFill="1" applyBorder="1" applyProtection="1"/>
    <xf numFmtId="0" fontId="3" fillId="0" borderId="5" xfId="0" applyFont="1" applyBorder="1" applyAlignment="1" applyProtection="1">
      <alignment horizontal="right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0" borderId="10" xfId="0" applyFont="1" applyBorder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right"/>
    </xf>
    <xf numFmtId="0" fontId="3" fillId="3" borderId="1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2" xfId="0" applyFont="1" applyFill="1" applyBorder="1" applyAlignment="1" applyProtection="1">
      <alignment horizontal="right"/>
      <protection locked="0"/>
    </xf>
    <xf numFmtId="0" fontId="3" fillId="0" borderId="5" xfId="0" applyFont="1" applyFill="1" applyBorder="1" applyAlignment="1" applyProtection="1">
      <alignment horizontal="right"/>
      <protection locked="0"/>
    </xf>
    <xf numFmtId="0" fontId="3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3" fillId="0" borderId="0" xfId="0" applyFont="1" applyProtection="1"/>
    <xf numFmtId="0" fontId="3" fillId="0" borderId="0" xfId="0" applyFont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3" borderId="8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Border="1"/>
    <xf numFmtId="0" fontId="3" fillId="0" borderId="1" xfId="0" applyFont="1" applyFill="1" applyBorder="1" applyAlignment="1">
      <alignment horizontal="right"/>
    </xf>
    <xf numFmtId="0" fontId="3" fillId="3" borderId="7" xfId="0" applyFont="1" applyFill="1" applyBorder="1"/>
    <xf numFmtId="0" fontId="3" fillId="0" borderId="2" xfId="0" applyFont="1" applyBorder="1" applyAlignment="1">
      <alignment horizontal="right"/>
    </xf>
    <xf numFmtId="0" fontId="3" fillId="0" borderId="8" xfId="0" applyFont="1" applyBorder="1"/>
    <xf numFmtId="0" fontId="3" fillId="0" borderId="2" xfId="0" applyFont="1" applyFill="1" applyBorder="1" applyAlignment="1">
      <alignment horizontal="right"/>
    </xf>
    <xf numFmtId="0" fontId="3" fillId="3" borderId="8" xfId="0" applyFont="1" applyFill="1" applyBorder="1"/>
    <xf numFmtId="0" fontId="3" fillId="0" borderId="5" xfId="0" applyFont="1" applyBorder="1" applyAlignment="1">
      <alignment horizontal="right"/>
    </xf>
    <xf numFmtId="0" fontId="3" fillId="0" borderId="1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3" fillId="0" borderId="5" xfId="0" applyFont="1" applyFill="1" applyBorder="1" applyAlignment="1">
      <alignment horizontal="right"/>
    </xf>
    <xf numFmtId="0" fontId="3" fillId="3" borderId="10" xfId="0" applyFont="1" applyFill="1" applyBorder="1"/>
    <xf numFmtId="0" fontId="3" fillId="2" borderId="6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7" fillId="0" borderId="0" xfId="0" applyFont="1"/>
    <xf numFmtId="0" fontId="3" fillId="2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0" fontId="6" fillId="0" borderId="0" xfId="0" applyFont="1" applyProtection="1">
      <protection hidden="1"/>
    </xf>
    <xf numFmtId="0" fontId="3" fillId="0" borderId="16" xfId="0" applyFont="1" applyBorder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3" fillId="0" borderId="17" xfId="0" applyFont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4" fillId="0" borderId="0" xfId="0" applyFont="1" applyBorder="1" applyAlignment="1" applyProtection="1">
      <alignment horizontal="centerContinuous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1" applyFont="1"/>
    <xf numFmtId="0" fontId="3" fillId="0" borderId="0" xfId="1" applyFont="1"/>
    <xf numFmtId="0" fontId="11" fillId="4" borderId="18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/>
    <xf numFmtId="0" fontId="12" fillId="0" borderId="0" xfId="2" applyFont="1" applyAlignment="1">
      <alignment horizontal="left"/>
    </xf>
  </cellXfs>
  <cellStyles count="3">
    <cellStyle name="Normal" xfId="0" builtinId="0"/>
    <cellStyle name="Normal_Ch  1  Introduction.xls" xfId="1"/>
    <cellStyle name="Normal_Ch 13 Forecasting.xls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14446118485444"/>
          <c:y val="8.9473914149656011E-2"/>
          <c:w val="0.81531710857683304"/>
          <c:h val="0.694738627514976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'Finite Calling Population'!$A$13:$A$38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'M|M|s'!$G$12:$G$37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745616"/>
        <c:axId val="505746008"/>
      </c:barChart>
      <c:catAx>
        <c:axId val="50574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pt-PT"/>
                  <a:t>Number of Customers in System</a:t>
                </a:r>
              </a:p>
            </c:rich>
          </c:tx>
          <c:layout>
            <c:manualLayout>
              <c:xMode val="edge"/>
              <c:yMode val="edge"/>
              <c:x val="0.38063146781625629"/>
              <c:y val="0.88421279865542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pt-PT"/>
          </a:p>
        </c:txPr>
        <c:crossAx val="505746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05746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pt-PT"/>
                  <a:t>Probability</a:t>
                </a:r>
              </a:p>
            </c:rich>
          </c:tx>
          <c:layout>
            <c:manualLayout>
              <c:xMode val="edge"/>
              <c:yMode val="edge"/>
              <c:x val="3.3783858090200264E-2"/>
              <c:y val="0.30000077097237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pt-PT"/>
          </a:p>
        </c:txPr>
        <c:crossAx val="505745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pt-P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0257399280193"/>
          <c:y val="9.0909427192187475E-2"/>
          <c:w val="0.811005732054767"/>
          <c:h val="0.693184382340429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'Finite Calling Population'!$A$13:$A$38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'Finite Queue'!$G$12:$G$37</c:f>
              <c:numCache>
                <c:formatCode>General</c:formatCode>
                <c:ptCount val="26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554672"/>
        <c:axId val="508555064"/>
      </c:barChart>
      <c:catAx>
        <c:axId val="50855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pt-PT"/>
                  <a:t>Number of Customers in System</a:t>
                </a:r>
              </a:p>
            </c:rich>
          </c:tx>
          <c:layout>
            <c:manualLayout>
              <c:xMode val="edge"/>
              <c:yMode val="edge"/>
              <c:x val="0.37799087216711852"/>
              <c:y val="0.87500323672480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pt-PT"/>
          </a:p>
        </c:txPr>
        <c:crossAx val="508555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08555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pt-PT"/>
                  <a:t>Probability</a:t>
                </a:r>
              </a:p>
            </c:rich>
          </c:tx>
          <c:layout>
            <c:manualLayout>
              <c:xMode val="edge"/>
              <c:yMode val="edge"/>
              <c:x val="3.8277556675151245E-2"/>
              <c:y val="0.337122459171028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pt-PT"/>
          </a:p>
        </c:txPr>
        <c:crossAx val="508554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pt-PT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00520126906248"/>
          <c:y val="9.2307692307692313E-2"/>
          <c:w val="0.80918065269439887"/>
          <c:h val="0.68846153846153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'Finite Calling Population'!$A$13:$A$38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'Finite Calling Population'!$G$13:$G$38</c:f>
              <c:numCache>
                <c:formatCode>General</c:formatCode>
                <c:ptCount val="26"/>
                <c:pt idx="0">
                  <c:v>0.28486782133090244</c:v>
                </c:pt>
                <c:pt idx="1">
                  <c:v>0.28486782133090244</c:v>
                </c:pt>
                <c:pt idx="2">
                  <c:v>0.22789425706472199</c:v>
                </c:pt>
                <c:pt idx="3">
                  <c:v>0.13673655423883319</c:v>
                </c:pt>
                <c:pt idx="4">
                  <c:v>5.469462169553329E-2</c:v>
                </c:pt>
                <c:pt idx="5">
                  <c:v>1.093892433910666E-2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555848"/>
        <c:axId val="508556240"/>
      </c:barChart>
      <c:catAx>
        <c:axId val="508555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pt-PT"/>
                  <a:t>Number of Customers in System</a:t>
                </a:r>
              </a:p>
            </c:rich>
          </c:tx>
          <c:layout>
            <c:manualLayout>
              <c:xMode val="edge"/>
              <c:yMode val="edge"/>
              <c:x val="0.37681248304574994"/>
              <c:y val="0.873076923076923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pt-PT"/>
          </a:p>
        </c:txPr>
        <c:crossAx val="508556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0855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pt-PT"/>
                  <a:t>Probability</a:t>
                </a:r>
              </a:p>
            </c:rich>
          </c:tx>
          <c:layout>
            <c:manualLayout>
              <c:xMode val="edge"/>
              <c:yMode val="edge"/>
              <c:x val="3.8647434158538455E-2"/>
              <c:y val="0.33461538461538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pt-PT"/>
          </a:p>
        </c:txPr>
        <c:crossAx val="508555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pt-P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4</xdr:col>
      <xdr:colOff>1571625</xdr:colOff>
      <xdr:row>23</xdr:row>
      <xdr:rowOff>0</xdr:rowOff>
    </xdr:to>
    <xdr:graphicFrame macro="">
      <xdr:nvGraphicFramePr>
        <xdr:cNvPr id="10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4</xdr:col>
      <xdr:colOff>1476375</xdr:colOff>
      <xdr:row>23</xdr:row>
      <xdr:rowOff>19050</xdr:rowOff>
    </xdr:to>
    <xdr:graphicFrame macro="">
      <xdr:nvGraphicFramePr>
        <xdr:cNvPr id="20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4</xdr:col>
      <xdr:colOff>1447800</xdr:colOff>
      <xdr:row>23</xdr:row>
      <xdr:rowOff>0</xdr:rowOff>
    </xdr:to>
    <xdr:graphicFrame macro="">
      <xdr:nvGraphicFramePr>
        <xdr:cNvPr id="30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workbookViewId="0"/>
  </sheetViews>
  <sheetFormatPr defaultColWidth="9.28515625" defaultRowHeight="12.75"/>
  <cols>
    <col min="1" max="1" width="1.5703125" style="119" customWidth="1"/>
    <col min="2" max="2" width="3.28515625" style="119" customWidth="1"/>
    <col min="3" max="3" width="40.42578125" style="119" customWidth="1"/>
    <col min="4" max="16384" width="9.28515625" style="119"/>
  </cols>
  <sheetData>
    <row r="1" spans="1:3" ht="13.5" thickBot="1">
      <c r="A1" s="118"/>
    </row>
    <row r="2" spans="1:3" ht="20.25" thickBot="1">
      <c r="C2" s="120" t="s">
        <v>72</v>
      </c>
    </row>
    <row r="3" spans="1:3">
      <c r="C3" s="121"/>
    </row>
    <row r="5" spans="1:3" ht="15.75">
      <c r="B5" s="122" t="s">
        <v>64</v>
      </c>
    </row>
    <row r="6" spans="1:3" ht="15.75">
      <c r="C6" s="123" t="s">
        <v>66</v>
      </c>
    </row>
    <row r="7" spans="1:3" ht="15.75">
      <c r="C7" s="123" t="s">
        <v>32</v>
      </c>
    </row>
    <row r="8" spans="1:3" ht="15.75">
      <c r="C8" s="123" t="s">
        <v>33</v>
      </c>
    </row>
    <row r="9" spans="1:3" ht="15.75">
      <c r="C9" s="123" t="s">
        <v>67</v>
      </c>
    </row>
    <row r="10" spans="1:3" ht="15.75">
      <c r="C10" s="123" t="s">
        <v>68</v>
      </c>
    </row>
    <row r="11" spans="1:3" ht="15.75">
      <c r="C11" s="123" t="s">
        <v>69</v>
      </c>
    </row>
    <row r="12" spans="1:3" ht="15.75">
      <c r="C12" s="123" t="s">
        <v>70</v>
      </c>
    </row>
    <row r="13" spans="1:3" ht="15.75">
      <c r="C13" s="123" t="s">
        <v>71</v>
      </c>
    </row>
    <row r="16" spans="1:3" ht="15.75">
      <c r="B16" s="122" t="s">
        <v>65</v>
      </c>
    </row>
  </sheetData>
  <phoneticPr fontId="0" type="noConversion"/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P53"/>
  <sheetViews>
    <sheetView topLeftCell="A29" workbookViewId="0">
      <selection activeCell="P44" sqref="P44"/>
    </sheetView>
  </sheetViews>
  <sheetFormatPr defaultColWidth="10.7109375" defaultRowHeight="12.75"/>
  <cols>
    <col min="1" max="16384" width="10.7109375" style="50"/>
  </cols>
  <sheetData>
    <row r="3" spans="5:11">
      <c r="H3" s="50" t="s">
        <v>76</v>
      </c>
      <c r="I3" s="50">
        <f>1/(1+SUM(F5:F52))</f>
        <v>0.29969657434827129</v>
      </c>
    </row>
    <row r="4" spans="5:11">
      <c r="F4" s="50" t="s">
        <v>114</v>
      </c>
      <c r="G4" s="50" t="s">
        <v>113</v>
      </c>
      <c r="I4" s="50" t="s">
        <v>115</v>
      </c>
      <c r="K4" s="50" t="s">
        <v>116</v>
      </c>
    </row>
    <row r="5" spans="5:11">
      <c r="E5" s="50" t="s">
        <v>77</v>
      </c>
      <c r="F5" s="50">
        <f>((9/11)^G5)/((FACT(G5))^0.2)</f>
        <v>0.81818181818181823</v>
      </c>
      <c r="G5" s="50">
        <v>1</v>
      </c>
      <c r="I5" s="50">
        <f>F5*$I$3</f>
        <v>0.24520628810313108</v>
      </c>
      <c r="K5" s="50">
        <f>G5*I5</f>
        <v>0.24520628810313108</v>
      </c>
    </row>
    <row r="6" spans="5:11">
      <c r="E6" s="50" t="s">
        <v>78</v>
      </c>
      <c r="F6" s="50">
        <f t="shared" ref="F6:F52" si="0">((9/11)^G6)/((FACT(G6))^0.2)</f>
        <v>0.58276525311558725</v>
      </c>
      <c r="G6" s="50">
        <v>2</v>
      </c>
      <c r="I6" s="50">
        <f t="shared" ref="I6:I52" si="1">F6*$I$3</f>
        <v>0.17465275000794472</v>
      </c>
      <c r="K6" s="50">
        <f t="shared" ref="K6:K52" si="2">G6*I6</f>
        <v>0.34930550001588945</v>
      </c>
    </row>
    <row r="7" spans="5:11">
      <c r="E7" s="50" t="s">
        <v>79</v>
      </c>
      <c r="F7" s="50">
        <f t="shared" si="0"/>
        <v>0.38275354589367494</v>
      </c>
      <c r="G7" s="50">
        <v>3</v>
      </c>
      <c r="I7" s="50">
        <f t="shared" si="1"/>
        <v>0.11470992652398822</v>
      </c>
      <c r="K7" s="50">
        <f t="shared" si="2"/>
        <v>0.34412977957196467</v>
      </c>
    </row>
    <row r="8" spans="5:11">
      <c r="E8" s="50" t="s">
        <v>80</v>
      </c>
      <c r="F8" s="50">
        <f t="shared" si="0"/>
        <v>0.23733240970976227</v>
      </c>
      <c r="G8" s="50">
        <v>4</v>
      </c>
      <c r="I8" s="50">
        <f t="shared" si="1"/>
        <v>7.1127710171836153E-2</v>
      </c>
      <c r="K8" s="50">
        <f t="shared" si="2"/>
        <v>0.28451084068734461</v>
      </c>
    </row>
    <row r="9" spans="5:11">
      <c r="E9" s="50" t="s">
        <v>81</v>
      </c>
      <c r="F9" s="50">
        <f t="shared" si="0"/>
        <v>0.1407384851639388</v>
      </c>
      <c r="G9" s="50">
        <v>5</v>
      </c>
      <c r="I9" s="50">
        <f t="shared" si="1"/>
        <v>4.2178841882597462E-2</v>
      </c>
      <c r="K9" s="50">
        <f t="shared" si="2"/>
        <v>0.21089420941298731</v>
      </c>
    </row>
    <row r="10" spans="5:11">
      <c r="E10" s="50" t="s">
        <v>82</v>
      </c>
      <c r="F10" s="50">
        <f t="shared" si="0"/>
        <v>8.0469711889684367E-2</v>
      </c>
      <c r="G10" s="50">
        <v>6</v>
      </c>
      <c r="I10" s="50">
        <f t="shared" si="1"/>
        <v>2.4116496992130761E-2</v>
      </c>
      <c r="K10" s="50">
        <f t="shared" si="2"/>
        <v>0.14469898195278458</v>
      </c>
    </row>
    <row r="11" spans="5:11">
      <c r="E11" s="50" t="s">
        <v>83</v>
      </c>
      <c r="F11" s="50">
        <f t="shared" si="0"/>
        <v>4.4613126797434836E-2</v>
      </c>
      <c r="G11" s="50">
        <v>7</v>
      </c>
      <c r="I11" s="50">
        <f t="shared" si="1"/>
        <v>1.3370401272156284E-2</v>
      </c>
      <c r="K11" s="50">
        <f t="shared" si="2"/>
        <v>9.3592808905093985E-2</v>
      </c>
    </row>
    <row r="12" spans="5:11">
      <c r="E12" s="50" t="s">
        <v>84</v>
      </c>
      <c r="F12" s="50">
        <f t="shared" si="0"/>
        <v>2.4082107436443876E-2</v>
      </c>
      <c r="G12" s="50">
        <v>8</v>
      </c>
      <c r="I12" s="50">
        <f t="shared" si="1"/>
        <v>7.2173251017892594E-3</v>
      </c>
      <c r="K12" s="50">
        <f t="shared" si="2"/>
        <v>5.7738600814314076E-2</v>
      </c>
    </row>
    <row r="13" spans="5:11">
      <c r="E13" s="50" t="s">
        <v>85</v>
      </c>
      <c r="F13" s="50">
        <f t="shared" si="0"/>
        <v>1.269684482734118E-2</v>
      </c>
      <c r="G13" s="50">
        <v>9</v>
      </c>
      <c r="I13" s="50">
        <f t="shared" si="1"/>
        <v>3.8052008997857198E-3</v>
      </c>
      <c r="K13" s="50">
        <f t="shared" si="2"/>
        <v>3.4246808098071478E-2</v>
      </c>
    </row>
    <row r="14" spans="5:11">
      <c r="E14" s="50" t="s">
        <v>86</v>
      </c>
      <c r="F14" s="50">
        <f t="shared" si="0"/>
        <v>6.5545915872569456E-3</v>
      </c>
      <c r="G14" s="50">
        <v>10</v>
      </c>
      <c r="I14" s="50">
        <f t="shared" si="1"/>
        <v>1.9643886449529045E-3</v>
      </c>
      <c r="K14" s="50">
        <f t="shared" si="2"/>
        <v>1.9643886449529045E-2</v>
      </c>
    </row>
    <row r="15" spans="5:11">
      <c r="E15" s="50" t="s">
        <v>87</v>
      </c>
      <c r="F15" s="50">
        <f t="shared" si="0"/>
        <v>3.3198382429010919E-3</v>
      </c>
      <c r="G15" s="50">
        <v>11</v>
      </c>
      <c r="I15" s="50">
        <f t="shared" si="1"/>
        <v>9.9494414878784142E-4</v>
      </c>
      <c r="K15" s="50">
        <f t="shared" si="2"/>
        <v>1.0944385636666255E-2</v>
      </c>
    </row>
    <row r="16" spans="5:11">
      <c r="E16" s="50" t="s">
        <v>88</v>
      </c>
      <c r="F16" s="50">
        <f t="shared" si="0"/>
        <v>1.6524582609554351E-3</v>
      </c>
      <c r="G16" s="50">
        <v>12</v>
      </c>
      <c r="I16" s="50">
        <f t="shared" si="1"/>
        <v>4.9523608006184563E-4</v>
      </c>
      <c r="K16" s="50">
        <f t="shared" si="2"/>
        <v>5.9428329607421476E-3</v>
      </c>
    </row>
    <row r="17" spans="5:11">
      <c r="E17" s="50" t="s">
        <v>89</v>
      </c>
      <c r="F17" s="50">
        <f t="shared" si="0"/>
        <v>8.0945302867949142E-4</v>
      </c>
      <c r="G17" s="50">
        <v>13</v>
      </c>
      <c r="I17" s="50">
        <f t="shared" si="1"/>
        <v>2.4259029979107659E-4</v>
      </c>
      <c r="K17" s="50">
        <f t="shared" si="2"/>
        <v>3.1536738972839954E-3</v>
      </c>
    </row>
    <row r="18" spans="5:11">
      <c r="E18" s="50" t="s">
        <v>90</v>
      </c>
      <c r="F18" s="50">
        <f t="shared" si="0"/>
        <v>3.9067522371895319E-4</v>
      </c>
      <c r="G18" s="50">
        <v>14</v>
      </c>
      <c r="I18" s="50">
        <f t="shared" si="1"/>
        <v>1.1708402623131477E-4</v>
      </c>
      <c r="K18" s="50">
        <f t="shared" si="2"/>
        <v>1.6391763672384068E-3</v>
      </c>
    </row>
    <row r="19" spans="5:11">
      <c r="E19" s="50" t="s">
        <v>91</v>
      </c>
      <c r="F19" s="50">
        <f t="shared" si="0"/>
        <v>1.8597194876787587E-4</v>
      </c>
      <c r="G19" s="50">
        <v>15</v>
      </c>
      <c r="I19" s="50">
        <f t="shared" si="1"/>
        <v>5.573515597060461E-5</v>
      </c>
      <c r="K19" s="50">
        <f t="shared" si="2"/>
        <v>8.3602733955906916E-4</v>
      </c>
    </row>
    <row r="20" spans="5:11">
      <c r="E20" s="50" t="s">
        <v>92</v>
      </c>
      <c r="F20" s="50">
        <f t="shared" si="0"/>
        <v>8.7392320210330331E-5</v>
      </c>
      <c r="G20" s="50">
        <v>16</v>
      </c>
      <c r="I20" s="50">
        <f t="shared" si="1"/>
        <v>2.6191178991383195E-5</v>
      </c>
      <c r="K20" s="50">
        <f t="shared" si="2"/>
        <v>4.1905886386213112E-4</v>
      </c>
    </row>
    <row r="21" spans="5:11">
      <c r="E21" s="50" t="s">
        <v>93</v>
      </c>
      <c r="F21" s="50">
        <f t="shared" si="0"/>
        <v>4.057264394630942E-5</v>
      </c>
      <c r="G21" s="50">
        <v>17</v>
      </c>
      <c r="I21" s="50">
        <f t="shared" si="1"/>
        <v>1.2159482402961059E-5</v>
      </c>
      <c r="K21" s="50">
        <f t="shared" si="2"/>
        <v>2.0671120085033801E-4</v>
      </c>
    </row>
    <row r="22" spans="5:11">
      <c r="E22" s="50" t="s">
        <v>94</v>
      </c>
      <c r="F22" s="50">
        <f t="shared" si="0"/>
        <v>1.8622099079966652E-5</v>
      </c>
      <c r="G22" s="50">
        <v>18</v>
      </c>
      <c r="I22" s="50">
        <f t="shared" si="1"/>
        <v>5.5809793014401003E-6</v>
      </c>
      <c r="K22" s="50">
        <f t="shared" si="2"/>
        <v>1.0045762742592181E-4</v>
      </c>
    </row>
    <row r="23" spans="5:11">
      <c r="E23" s="50" t="s">
        <v>95</v>
      </c>
      <c r="F23" s="50">
        <f t="shared" si="0"/>
        <v>8.4552749982145326E-6</v>
      </c>
      <c r="G23" s="50">
        <v>19</v>
      </c>
      <c r="I23" s="50">
        <f t="shared" si="1"/>
        <v>2.5340169521374809E-6</v>
      </c>
      <c r="K23" s="50">
        <f t="shared" si="2"/>
        <v>4.8146322090612139E-5</v>
      </c>
    </row>
    <row r="24" spans="5:11">
      <c r="E24" s="50" t="s">
        <v>96</v>
      </c>
      <c r="F24" s="50">
        <f t="shared" si="0"/>
        <v>3.7998947028441245E-6</v>
      </c>
      <c r="G24" s="50">
        <v>20</v>
      </c>
      <c r="I24" s="50">
        <f t="shared" si="1"/>
        <v>1.1388154253265265E-6</v>
      </c>
      <c r="K24" s="50">
        <f t="shared" si="2"/>
        <v>2.277630850653053E-5</v>
      </c>
    </row>
    <row r="25" spans="5:11">
      <c r="E25" s="50" t="s">
        <v>97</v>
      </c>
      <c r="F25" s="50">
        <f t="shared" si="0"/>
        <v>1.6911320784253803E-6</v>
      </c>
      <c r="G25" s="50">
        <v>21</v>
      </c>
      <c r="I25" s="50">
        <f t="shared" si="1"/>
        <v>5.0682649067455853E-7</v>
      </c>
      <c r="K25" s="50">
        <f t="shared" si="2"/>
        <v>1.064335630416573E-5</v>
      </c>
    </row>
    <row r="26" spans="5:11">
      <c r="E26" s="50" t="s">
        <v>98</v>
      </c>
      <c r="F26" s="50">
        <f t="shared" si="0"/>
        <v>7.4566338096086502E-7</v>
      </c>
      <c r="G26" s="50">
        <v>22</v>
      </c>
      <c r="I26" s="50">
        <f t="shared" si="1"/>
        <v>2.2347276089092123E-7</v>
      </c>
      <c r="K26" s="50">
        <f t="shared" si="2"/>
        <v>4.9164007396002671E-6</v>
      </c>
    </row>
    <row r="27" spans="5:11">
      <c r="E27" s="50" t="s">
        <v>99</v>
      </c>
      <c r="F27" s="50">
        <f t="shared" si="0"/>
        <v>3.2587202005307462E-7</v>
      </c>
      <c r="G27" s="50">
        <v>23</v>
      </c>
      <c r="I27" s="50">
        <f>F27*$I$3</f>
        <v>9.7662728085857627E-8</v>
      </c>
      <c r="K27" s="50">
        <f t="shared" si="2"/>
        <v>2.2462427459747254E-6</v>
      </c>
    </row>
    <row r="28" spans="5:11">
      <c r="E28" s="50" t="s">
        <v>100</v>
      </c>
      <c r="F28" s="50">
        <f t="shared" si="0"/>
        <v>1.4120648704266287E-7</v>
      </c>
      <c r="G28" s="50">
        <v>24</v>
      </c>
      <c r="I28" s="50">
        <f t="shared" si="1"/>
        <v>4.2319100442439622E-8</v>
      </c>
      <c r="K28" s="50">
        <f t="shared" si="2"/>
        <v>1.0156584106185509E-6</v>
      </c>
    </row>
    <row r="29" spans="5:11">
      <c r="E29" s="50" t="s">
        <v>101</v>
      </c>
      <c r="F29" s="50">
        <f t="shared" si="0"/>
        <v>6.0689906898502004E-8</v>
      </c>
      <c r="G29" s="50">
        <v>25</v>
      </c>
      <c r="I29" s="50">
        <f t="shared" si="1"/>
        <v>1.8188557194996569E-8</v>
      </c>
      <c r="K29" s="50">
        <f t="shared" si="2"/>
        <v>4.5471392987491424E-7</v>
      </c>
    </row>
    <row r="30" spans="5:11">
      <c r="E30" s="50" t="s">
        <v>102</v>
      </c>
      <c r="F30" s="50">
        <f t="shared" si="0"/>
        <v>2.5880438232270567E-8</v>
      </c>
      <c r="G30" s="50">
        <v>26</v>
      </c>
      <c r="I30" s="50">
        <f t="shared" si="1"/>
        <v>7.756278680843519E-9</v>
      </c>
      <c r="K30" s="50">
        <f t="shared" si="2"/>
        <v>2.016632457019315E-7</v>
      </c>
    </row>
    <row r="31" spans="5:11">
      <c r="E31" s="50" t="s">
        <v>103</v>
      </c>
      <c r="F31" s="50">
        <f t="shared" si="0"/>
        <v>1.0953393687746964E-8</v>
      </c>
      <c r="G31" s="50">
        <v>27</v>
      </c>
      <c r="I31" s="50">
        <f t="shared" si="1"/>
        <v>3.2826945657057434E-9</v>
      </c>
      <c r="K31" s="50">
        <f t="shared" si="2"/>
        <v>8.8632753274055076E-8</v>
      </c>
    </row>
    <row r="32" spans="5:11">
      <c r="E32" s="50" t="s">
        <v>104</v>
      </c>
      <c r="F32" s="50">
        <f t="shared" si="0"/>
        <v>4.6022151253186994E-9</v>
      </c>
      <c r="G32" s="50">
        <v>28</v>
      </c>
      <c r="I32" s="50">
        <f t="shared" si="1"/>
        <v>1.3792681074718143E-9</v>
      </c>
      <c r="K32" s="50">
        <f t="shared" si="2"/>
        <v>3.8619507009210798E-8</v>
      </c>
    </row>
    <row r="33" spans="5:11">
      <c r="E33" s="50" t="s">
        <v>105</v>
      </c>
      <c r="F33" s="50">
        <f t="shared" si="0"/>
        <v>1.9201587695799773E-9</v>
      </c>
      <c r="G33" s="50">
        <v>29</v>
      </c>
      <c r="I33" s="50">
        <f t="shared" si="1"/>
        <v>5.7546500544791081E-10</v>
      </c>
      <c r="K33" s="50">
        <f t="shared" si="2"/>
        <v>1.6688485157989415E-8</v>
      </c>
    </row>
    <row r="34" spans="5:11">
      <c r="E34" s="50" t="s">
        <v>106</v>
      </c>
      <c r="F34" s="50">
        <f t="shared" si="0"/>
        <v>7.9572446967460646E-10</v>
      </c>
      <c r="G34" s="50">
        <v>30</v>
      </c>
      <c r="I34" s="50">
        <f t="shared" si="1"/>
        <v>2.3847589768657443E-10</v>
      </c>
      <c r="K34" s="50">
        <f t="shared" si="2"/>
        <v>7.1542769305972327E-9</v>
      </c>
    </row>
    <row r="35" spans="5:11">
      <c r="E35" s="50" t="s">
        <v>107</v>
      </c>
      <c r="F35" s="50">
        <f t="shared" si="0"/>
        <v>3.2759721343311053E-10</v>
      </c>
      <c r="G35" s="50">
        <v>31</v>
      </c>
      <c r="I35" s="50">
        <f t="shared" si="1"/>
        <v>9.8179762631942706E-11</v>
      </c>
      <c r="K35" s="50">
        <f t="shared" si="2"/>
        <v>3.043572641590224E-9</v>
      </c>
    </row>
    <row r="36" spans="5:11">
      <c r="E36" s="50" t="s">
        <v>108</v>
      </c>
      <c r="F36" s="50">
        <f t="shared" si="0"/>
        <v>1.3401704185899952E-10</v>
      </c>
      <c r="G36" s="50">
        <v>32</v>
      </c>
      <c r="I36" s="50">
        <f t="shared" si="1"/>
        <v>4.0164448349431033E-11</v>
      </c>
      <c r="K36" s="50">
        <f t="shared" si="2"/>
        <v>1.2852623471817931E-9</v>
      </c>
    </row>
    <row r="37" spans="5:11">
      <c r="E37" s="50" t="s">
        <v>109</v>
      </c>
      <c r="F37" s="50">
        <f t="shared" si="0"/>
        <v>5.448877745243999E-11</v>
      </c>
      <c r="G37" s="50">
        <v>33</v>
      </c>
      <c r="I37" s="50">
        <f t="shared" si="1"/>
        <v>1.6330099942921591E-11</v>
      </c>
      <c r="K37" s="50">
        <f t="shared" si="2"/>
        <v>5.3889329811641245E-10</v>
      </c>
    </row>
    <row r="38" spans="5:11">
      <c r="E38" s="50" t="s">
        <v>110</v>
      </c>
      <c r="F38" s="50">
        <f t="shared" si="0"/>
        <v>2.2022220399139177E-11</v>
      </c>
      <c r="G38" s="50">
        <v>34</v>
      </c>
      <c r="I38" s="50">
        <f t="shared" si="1"/>
        <v>6.5999840131646309E-12</v>
      </c>
      <c r="K38" s="50">
        <f t="shared" si="2"/>
        <v>2.2439945644759745E-10</v>
      </c>
    </row>
    <row r="39" spans="5:11">
      <c r="E39" s="50" t="s">
        <v>111</v>
      </c>
      <c r="F39" s="50">
        <f t="shared" si="0"/>
        <v>8.8490636752494341E-12</v>
      </c>
      <c r="G39" s="50">
        <v>35</v>
      </c>
      <c r="I39" s="50">
        <f t="shared" si="1"/>
        <v>2.6520340696619788E-12</v>
      </c>
      <c r="K39" s="50">
        <f t="shared" si="2"/>
        <v>9.2821192438169253E-11</v>
      </c>
    </row>
    <row r="40" spans="5:11">
      <c r="E40" s="50" t="s">
        <v>112</v>
      </c>
      <c r="F40" s="50">
        <f t="shared" si="0"/>
        <v>3.5357914743927297E-12</v>
      </c>
      <c r="G40" s="50">
        <v>36</v>
      </c>
      <c r="I40" s="50">
        <f t="shared" si="1"/>
        <v>1.0596645924853244E-12</v>
      </c>
      <c r="K40" s="50">
        <f t="shared" si="2"/>
        <v>3.8147925329471676E-11</v>
      </c>
    </row>
    <row r="41" spans="5:11">
      <c r="E41" s="50" t="s">
        <v>118</v>
      </c>
      <c r="F41" s="50">
        <f t="shared" si="0"/>
        <v>1.4050640555306332E-12</v>
      </c>
      <c r="G41" s="50">
        <v>37</v>
      </c>
      <c r="I41" s="50">
        <f t="shared" si="1"/>
        <v>4.2109288418241997E-13</v>
      </c>
      <c r="K41" s="50">
        <f t="shared" si="2"/>
        <v>1.5580436714749538E-11</v>
      </c>
    </row>
    <row r="42" spans="5:11">
      <c r="E42" s="50" t="s">
        <v>119</v>
      </c>
      <c r="F42" s="50">
        <f t="shared" si="0"/>
        <v>5.5537871168910851E-13</v>
      </c>
      <c r="G42" s="50">
        <v>38</v>
      </c>
      <c r="I42" s="50">
        <f t="shared" si="1"/>
        <v>1.6644509735918203E-13</v>
      </c>
      <c r="K42" s="50">
        <f t="shared" si="2"/>
        <v>6.3249136996489168E-12</v>
      </c>
    </row>
    <row r="43" spans="5:11">
      <c r="E43" s="50" t="s">
        <v>120</v>
      </c>
      <c r="F43" s="50">
        <f t="shared" si="0"/>
        <v>2.1838667274044321E-13</v>
      </c>
      <c r="G43" s="50">
        <v>39</v>
      </c>
      <c r="I43" s="50">
        <f t="shared" si="1"/>
        <v>6.5449737703627834E-14</v>
      </c>
      <c r="K43" s="50">
        <f t="shared" si="2"/>
        <v>2.5525397704414854E-12</v>
      </c>
    </row>
    <row r="44" spans="5:11">
      <c r="E44" s="50" t="s">
        <v>121</v>
      </c>
      <c r="F44" s="50">
        <f t="shared" si="0"/>
        <v>8.5440534707516742E-14</v>
      </c>
      <c r="G44" s="50">
        <v>40</v>
      </c>
      <c r="I44" s="50">
        <f t="shared" si="1"/>
        <v>2.5606235562327345E-14</v>
      </c>
      <c r="K44" s="50">
        <f t="shared" si="2"/>
        <v>1.0242494224930937E-12</v>
      </c>
    </row>
    <row r="45" spans="5:11">
      <c r="E45" s="50" t="s">
        <v>122</v>
      </c>
      <c r="F45" s="50">
        <f t="shared" si="0"/>
        <v>3.3262662599682829E-14</v>
      </c>
      <c r="G45" s="50">
        <v>41</v>
      </c>
      <c r="I45" s="50">
        <f t="shared" si="1"/>
        <v>9.9687060348273082E-15</v>
      </c>
      <c r="K45" s="50">
        <f t="shared" si="2"/>
        <v>4.0871694742791966E-13</v>
      </c>
    </row>
    <row r="46" spans="5:11">
      <c r="E46" s="50" t="s">
        <v>123</v>
      </c>
      <c r="F46" s="50">
        <f t="shared" si="0"/>
        <v>1.2887152766561695E-14</v>
      </c>
      <c r="G46" s="50">
        <v>42</v>
      </c>
      <c r="I46" s="50">
        <f t="shared" si="1"/>
        <v>3.8622355372413876E-15</v>
      </c>
      <c r="K46" s="50">
        <f t="shared" si="2"/>
        <v>1.6221389256413827E-13</v>
      </c>
    </row>
    <row r="47" spans="5:11">
      <c r="E47" s="50" t="s">
        <v>124</v>
      </c>
      <c r="F47" s="50">
        <f t="shared" si="0"/>
        <v>4.9695047484814529E-15</v>
      </c>
      <c r="G47" s="50">
        <v>43</v>
      </c>
      <c r="I47" s="50">
        <f t="shared" si="1"/>
        <v>1.489343549327359E-15</v>
      </c>
      <c r="K47" s="50">
        <f t="shared" si="2"/>
        <v>6.4041772621076433E-14</v>
      </c>
    </row>
    <row r="48" spans="5:11">
      <c r="E48" s="50" t="s">
        <v>125</v>
      </c>
      <c r="F48" s="50">
        <f t="shared" si="0"/>
        <v>1.9075344889192914E-15</v>
      </c>
      <c r="G48" s="50">
        <v>44</v>
      </c>
      <c r="I48" s="50">
        <f t="shared" si="1"/>
        <v>5.7168155178029209E-16</v>
      </c>
      <c r="K48" s="50">
        <f t="shared" si="2"/>
        <v>2.5153988278332853E-14</v>
      </c>
    </row>
    <row r="49" spans="5:16">
      <c r="E49" s="50" t="s">
        <v>126</v>
      </c>
      <c r="F49" s="50">
        <f t="shared" si="0"/>
        <v>7.2891975482978577E-16</v>
      </c>
      <c r="G49" s="50">
        <v>45</v>
      </c>
      <c r="I49" s="50">
        <f t="shared" si="1"/>
        <v>2.1845475349726858E-16</v>
      </c>
      <c r="K49" s="50">
        <f t="shared" si="2"/>
        <v>9.8304639073770857E-15</v>
      </c>
      <c r="O49" s="50" t="s">
        <v>16</v>
      </c>
      <c r="P49" s="50">
        <f>SUM(K5:K52)</f>
        <v>1.8073005849149892</v>
      </c>
    </row>
    <row r="50" spans="5:16">
      <c r="E50" s="50" t="s">
        <v>127</v>
      </c>
      <c r="F50" s="50">
        <f t="shared" si="0"/>
        <v>2.7731794823790962E-16</v>
      </c>
      <c r="G50" s="50">
        <v>46</v>
      </c>
      <c r="I50" s="50">
        <f t="shared" si="1"/>
        <v>8.3111239092192732E-17</v>
      </c>
      <c r="K50" s="50">
        <f t="shared" si="2"/>
        <v>3.8231169982408657E-15</v>
      </c>
      <c r="O50" s="50" t="s">
        <v>117</v>
      </c>
      <c r="P50" s="50">
        <f>P49/9</f>
        <v>0.20081117610166546</v>
      </c>
    </row>
    <row r="51" spans="5:16">
      <c r="E51" s="50" t="s">
        <v>128</v>
      </c>
      <c r="F51" s="50">
        <f t="shared" si="0"/>
        <v>1.050529448465166E-16</v>
      </c>
      <c r="G51" s="50">
        <v>47</v>
      </c>
      <c r="I51" s="50">
        <f t="shared" si="1"/>
        <v>3.1484007695698908E-17</v>
      </c>
      <c r="K51" s="50">
        <f t="shared" si="2"/>
        <v>1.4797483616978487E-15</v>
      </c>
      <c r="P51" s="50">
        <f>P50*60</f>
        <v>12.048670566099927</v>
      </c>
    </row>
    <row r="52" spans="5:16">
      <c r="E52" s="50" t="s">
        <v>129</v>
      </c>
      <c r="F52" s="50">
        <f t="shared" si="0"/>
        <v>3.9628698368492867E-17</v>
      </c>
      <c r="G52" s="50">
        <v>48</v>
      </c>
      <c r="I52" s="50">
        <f t="shared" si="1"/>
        <v>1.1876585146918239E-17</v>
      </c>
      <c r="K52" s="50">
        <f t="shared" si="2"/>
        <v>5.7007608705207551E-16</v>
      </c>
    </row>
    <row r="53" spans="5:16">
      <c r="O53" s="50" t="s">
        <v>130</v>
      </c>
      <c r="P53" s="50">
        <f>0.5*60-P51</f>
        <v>17.951329433900071</v>
      </c>
    </row>
  </sheetData>
  <phoneticPr fontId="0" type="noConversion"/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8"/>
  <sheetViews>
    <sheetView tabSelected="1" workbookViewId="0">
      <selection activeCell="C7" sqref="C7"/>
    </sheetView>
  </sheetViews>
  <sheetFormatPr defaultColWidth="10.7109375" defaultRowHeight="12.75"/>
  <cols>
    <col min="1" max="1" width="2.7109375" style="17" customWidth="1"/>
    <col min="2" max="2" width="12.85546875" style="15" customWidth="1"/>
    <col min="3" max="3" width="9.42578125" style="16" customWidth="1"/>
    <col min="4" max="4" width="17.5703125" style="17" customWidth="1"/>
    <col min="5" max="5" width="25.140625" style="17" customWidth="1"/>
    <col min="6" max="6" width="5.85546875" style="15" customWidth="1"/>
    <col min="7" max="7" width="12" style="17" bestFit="1" customWidth="1"/>
    <col min="8" max="16384" width="10.7109375" style="17"/>
  </cols>
  <sheetData>
    <row r="1" spans="1:16" ht="15.75">
      <c r="A1" s="14" t="s">
        <v>26</v>
      </c>
    </row>
    <row r="3" spans="1:16" ht="13.5" thickBot="1">
      <c r="C3" s="18" t="s">
        <v>0</v>
      </c>
      <c r="F3" s="19" t="s">
        <v>1</v>
      </c>
      <c r="G3" s="19"/>
    </row>
    <row r="4" spans="1:16">
      <c r="B4" s="1" t="s">
        <v>2</v>
      </c>
      <c r="C4" s="20">
        <v>9</v>
      </c>
      <c r="D4" s="21" t="s">
        <v>23</v>
      </c>
      <c r="F4" s="22" t="s">
        <v>3</v>
      </c>
      <c r="G4" s="23" t="e">
        <f ca="1">IF(G10&lt;1,G5+C4/C5,NA())</f>
        <v>#NAME?</v>
      </c>
    </row>
    <row r="5" spans="1:16" ht="14.25">
      <c r="B5" s="2" t="s">
        <v>4</v>
      </c>
      <c r="C5" s="25">
        <v>5.3</v>
      </c>
      <c r="D5" s="26" t="s">
        <v>24</v>
      </c>
      <c r="F5" s="27" t="s">
        <v>34</v>
      </c>
      <c r="G5" s="28" t="e">
        <f ca="1">IF(G10&lt;1,C4*C5*((C4/C5)^C6)/(FACT(C6-1)*(C6*C5-C4)^2/G12),NA())</f>
        <v>#NAME?</v>
      </c>
    </row>
    <row r="6" spans="1:16" ht="13.5" thickBot="1">
      <c r="B6" s="29" t="s">
        <v>5</v>
      </c>
      <c r="C6" s="30">
        <v>3</v>
      </c>
      <c r="D6" s="31" t="s">
        <v>6</v>
      </c>
      <c r="F6" s="27"/>
      <c r="G6" s="28"/>
      <c r="J6" s="17" t="s">
        <v>131</v>
      </c>
      <c r="K6" s="17">
        <v>0.16609892355906797</v>
      </c>
      <c r="L6" s="17" t="s">
        <v>134</v>
      </c>
      <c r="M6" s="17">
        <v>9.9583361792227293E-2</v>
      </c>
      <c r="N6" s="17" t="s">
        <v>132</v>
      </c>
      <c r="O6" s="17">
        <v>0.11029411764705876</v>
      </c>
      <c r="P6" s="17">
        <f>K6*O6*M10</f>
        <v>8.1753291895304912E-4</v>
      </c>
    </row>
    <row r="7" spans="1:16" ht="13.5" thickBot="1">
      <c r="C7" s="32"/>
      <c r="F7" s="27" t="s">
        <v>7</v>
      </c>
      <c r="G7" s="28" t="e">
        <f ca="1">IF(G10&lt;1,G4/C4,NA())</f>
        <v>#NAME?</v>
      </c>
      <c r="J7" s="17" t="s">
        <v>132</v>
      </c>
      <c r="K7" s="17">
        <v>0.28205477585502109</v>
      </c>
      <c r="L7" s="17" t="s">
        <v>135</v>
      </c>
      <c r="M7" s="17">
        <v>8.1477296011822339E-2</v>
      </c>
      <c r="N7" s="17" t="s">
        <v>132</v>
      </c>
      <c r="O7" s="17">
        <v>0.11029411764706</v>
      </c>
      <c r="P7" s="17">
        <f>K7*M9*O7</f>
        <v>1.6967664355629513E-3</v>
      </c>
    </row>
    <row r="8" spans="1:16" ht="14.25">
      <c r="B8" s="22" t="s">
        <v>74</v>
      </c>
      <c r="C8" s="33" t="e">
        <f ca="1">IF((C6-1-C4/C5)=0,EXP(-C5*C9)*(1+G12*((C4/C5)^C6)/(FACT(C6)*(1-G10))*C5*C9),EXP(-C5*C9)*(1+G12*((C4/C5)^C6)/(FACT(C6)*(1-G10))*(1-EXP(-C5*C9*(C6-1-C4/C5)))/(C6-1-C4/C5)))</f>
        <v>#NAME?</v>
      </c>
      <c r="D8" s="34"/>
      <c r="F8" s="27" t="s">
        <v>35</v>
      </c>
      <c r="G8" s="28" t="e">
        <f ca="1">IF(G10&lt;1,G5/C4,NA())</f>
        <v>#NAME?</v>
      </c>
      <c r="J8" s="17" t="s">
        <v>133</v>
      </c>
      <c r="K8" s="17">
        <v>0.23948047006558396</v>
      </c>
      <c r="L8" s="17" t="s">
        <v>136</v>
      </c>
      <c r="M8" s="17">
        <v>6.6663242191491015E-2</v>
      </c>
      <c r="N8" s="17" t="s">
        <v>132</v>
      </c>
      <c r="O8" s="17">
        <v>0.11029411764706</v>
      </c>
      <c r="P8" s="17">
        <f>K8*O8*M8</f>
        <v>1.7607953576596663E-3</v>
      </c>
    </row>
    <row r="9" spans="1:16" ht="13.5" thickBot="1">
      <c r="B9" s="29" t="s">
        <v>8</v>
      </c>
      <c r="C9" s="35">
        <v>1</v>
      </c>
      <c r="E9" s="115" t="str">
        <f>IF(G10&gt;=1,"Model invalid because:","")</f>
        <v/>
      </c>
      <c r="F9" s="27"/>
      <c r="G9" s="28"/>
      <c r="J9" s="17" t="s">
        <v>134</v>
      </c>
      <c r="K9" s="17">
        <v>0.13555498305599092</v>
      </c>
      <c r="L9" s="17" t="s">
        <v>137</v>
      </c>
      <c r="M9" s="17">
        <v>5.4542652702129019E-2</v>
      </c>
      <c r="N9" s="17" t="s">
        <v>132</v>
      </c>
      <c r="O9" s="17">
        <v>0.11029411764706</v>
      </c>
      <c r="P9" s="17">
        <f>K9*O9*M7</f>
        <v>1.2181603103305866E-3</v>
      </c>
    </row>
    <row r="10" spans="1:16" ht="16.5" thickBot="1">
      <c r="E10" s="116" t="str">
        <f>IF(G10&gt;=1,"   r   &gt;=   1","")</f>
        <v/>
      </c>
      <c r="F10" s="9" t="s">
        <v>9</v>
      </c>
      <c r="G10" s="28">
        <f>C4/(C6*C5)</f>
        <v>0.5660377358490567</v>
      </c>
      <c r="J10" s="17" t="s">
        <v>135</v>
      </c>
      <c r="K10" s="17">
        <v>7.6729235692070324E-2</v>
      </c>
      <c r="L10" s="17" t="s">
        <v>138</v>
      </c>
      <c r="M10" s="17">
        <v>4.4625806756287377E-2</v>
      </c>
      <c r="N10" s="17" t="s">
        <v>132</v>
      </c>
      <c r="O10" s="17">
        <v>0.11029411764706</v>
      </c>
      <c r="P10" s="17">
        <f>K10*O10*M6</f>
        <v>8.4275241595197805E-4</v>
      </c>
    </row>
    <row r="11" spans="1:16" ht="12.95" customHeight="1">
      <c r="B11" s="22" t="s">
        <v>75</v>
      </c>
      <c r="C11" s="33" t="e">
        <f ca="1">(1-SUM(OFFSET(G12,0,0,C6,1)))*EXP(-C6*C5*(1-G10)*C12)</f>
        <v>#NAME?</v>
      </c>
      <c r="F11" s="27"/>
      <c r="G11" s="28"/>
      <c r="P11" s="17">
        <f>SUM(P6:P10)</f>
        <v>6.3360074384582309E-3</v>
      </c>
    </row>
    <row r="12" spans="1:16" ht="15" thickBot="1">
      <c r="A12" s="114">
        <v>0</v>
      </c>
      <c r="B12" s="36" t="s">
        <v>8</v>
      </c>
      <c r="C12" s="35">
        <v>1</v>
      </c>
      <c r="F12" s="27" t="s">
        <v>36</v>
      </c>
      <c r="G12" s="28" t="e">
        <f ca="1">IF(G10&lt;1,1/(sumxpf(C4/C5,0,C6-1)+((C4/C5)^C6)/(FACT(C6)*(1-C4/(C6*C5)))),NA())</f>
        <v>#NAME?</v>
      </c>
    </row>
    <row r="13" spans="1:16" ht="14.25">
      <c r="A13" s="114">
        <v>1</v>
      </c>
      <c r="F13" s="27" t="s">
        <v>37</v>
      </c>
      <c r="G13" s="28" t="e">
        <f ca="1">IF(G10&lt;1,IF($C$6=1,(1-$G$10)*$G$10^ROW(G1),IF($C$6&gt;=ROW(G1),(($C$4/$C$5)^ROW(G1))*$G$12/FACT(ROW(G1)),(($C$4/$C$5)^ROW(G1))*$G$12/(FACT($C$6)*($C$6^(ROW(G1)-$C$6))))),NA())</f>
        <v>#NAME?</v>
      </c>
      <c r="J13" s="17">
        <v>0.76583210603829166</v>
      </c>
      <c r="K13" s="17">
        <v>0.5</v>
      </c>
      <c r="L13" s="17">
        <v>9.0909090909090912E-2</v>
      </c>
      <c r="M13" s="17">
        <f>J13+K13+L13</f>
        <v>1.3567411969473824</v>
      </c>
      <c r="N13" s="17">
        <f>M13*60</f>
        <v>81.404471816842943</v>
      </c>
    </row>
    <row r="14" spans="1:16" ht="14.25">
      <c r="A14" s="114">
        <v>2</v>
      </c>
      <c r="B14" s="34"/>
      <c r="C14" s="34"/>
      <c r="F14" s="27" t="s">
        <v>38</v>
      </c>
      <c r="G14" s="28" t="e">
        <f ca="1">IF(G11&lt;1,IF($C$6=1,(1-$G$10)*$G$10^ROW(G2),IF($C$6&gt;=ROW(G2),(($C$4/$C$5)^ROW(G2))*$G$12/FACT(ROW(G2)),(($C$4/$C$5)^ROW(G2))*$G$12/(FACT($C$6)*($C$6^(ROW(G2)-$C$6))))),NA())</f>
        <v>#NAME?</v>
      </c>
    </row>
    <row r="15" spans="1:16" ht="14.25">
      <c r="A15" s="114">
        <v>3</v>
      </c>
      <c r="B15" s="34"/>
      <c r="C15" s="34"/>
      <c r="F15" s="27" t="s">
        <v>39</v>
      </c>
      <c r="G15" s="28" t="e">
        <f t="shared" ref="G15:G28" ca="1" si="0">IF(G12&lt;1,IF($C$6=1,(1-$G$10)*$G$10^ROW(G3),IF($C$6&gt;=ROW(G3),(($C$4/$C$5)^ROW(G3))*$G$12/FACT(ROW(G3)),(($C$4/$C$5)^ROW(G3))*$G$12/(FACT($C$6)*($C$6^(ROW(G3)-$C$6))))),NA())</f>
        <v>#NAME?</v>
      </c>
    </row>
    <row r="16" spans="1:16" ht="14.25">
      <c r="A16" s="114">
        <v>4</v>
      </c>
      <c r="B16" s="17"/>
      <c r="C16" s="17"/>
      <c r="F16" s="27" t="s">
        <v>40</v>
      </c>
      <c r="G16" s="28" t="e">
        <f t="shared" ca="1" si="0"/>
        <v>#NAME?</v>
      </c>
    </row>
    <row r="17" spans="1:7" ht="14.25">
      <c r="A17" s="114">
        <v>5</v>
      </c>
      <c r="B17" s="17"/>
      <c r="C17" s="17"/>
      <c r="F17" s="27" t="s">
        <v>41</v>
      </c>
      <c r="G17" s="28" t="e">
        <f t="shared" ca="1" si="0"/>
        <v>#NAME?</v>
      </c>
    </row>
    <row r="18" spans="1:7" ht="14.25">
      <c r="A18" s="114">
        <v>6</v>
      </c>
      <c r="B18" s="17"/>
      <c r="F18" s="27" t="s">
        <v>42</v>
      </c>
      <c r="G18" s="28" t="e">
        <f t="shared" ca="1" si="0"/>
        <v>#NAME?</v>
      </c>
    </row>
    <row r="19" spans="1:7" ht="14.25">
      <c r="A19" s="114">
        <v>7</v>
      </c>
      <c r="B19" s="17"/>
      <c r="F19" s="27" t="s">
        <v>43</v>
      </c>
      <c r="G19" s="28" t="e">
        <f t="shared" ca="1" si="0"/>
        <v>#NAME?</v>
      </c>
    </row>
    <row r="20" spans="1:7" ht="14.25">
      <c r="A20" s="114">
        <v>8</v>
      </c>
      <c r="B20" s="17"/>
      <c r="F20" s="27" t="s">
        <v>44</v>
      </c>
      <c r="G20" s="28" t="e">
        <f t="shared" ca="1" si="0"/>
        <v>#NAME?</v>
      </c>
    </row>
    <row r="21" spans="1:7" ht="14.25">
      <c r="A21" s="114">
        <v>9</v>
      </c>
      <c r="F21" s="27" t="s">
        <v>45</v>
      </c>
      <c r="G21" s="28" t="e">
        <f t="shared" ca="1" si="0"/>
        <v>#NAME?</v>
      </c>
    </row>
    <row r="22" spans="1:7" ht="14.25">
      <c r="A22" s="114">
        <v>10</v>
      </c>
      <c r="F22" s="27" t="s">
        <v>46</v>
      </c>
      <c r="G22" s="28" t="e">
        <f t="shared" ca="1" si="0"/>
        <v>#NAME?</v>
      </c>
    </row>
    <row r="23" spans="1:7" ht="14.25">
      <c r="A23" s="114">
        <v>11</v>
      </c>
      <c r="F23" s="27" t="s">
        <v>47</v>
      </c>
      <c r="G23" s="28" t="e">
        <f t="shared" ca="1" si="0"/>
        <v>#NAME?</v>
      </c>
    </row>
    <row r="24" spans="1:7" ht="14.25">
      <c r="A24" s="114">
        <v>12</v>
      </c>
      <c r="F24" s="27" t="s">
        <v>48</v>
      </c>
      <c r="G24" s="28" t="e">
        <f t="shared" ca="1" si="0"/>
        <v>#NAME?</v>
      </c>
    </row>
    <row r="25" spans="1:7" ht="14.25">
      <c r="A25" s="114">
        <v>13</v>
      </c>
      <c r="F25" s="27" t="s">
        <v>49</v>
      </c>
      <c r="G25" s="28" t="e">
        <f t="shared" ca="1" si="0"/>
        <v>#NAME?</v>
      </c>
    </row>
    <row r="26" spans="1:7" ht="14.25">
      <c r="A26" s="114">
        <v>14</v>
      </c>
      <c r="F26" s="27" t="s">
        <v>50</v>
      </c>
      <c r="G26" s="28" t="e">
        <f t="shared" ca="1" si="0"/>
        <v>#NAME?</v>
      </c>
    </row>
    <row r="27" spans="1:7" ht="14.25">
      <c r="A27" s="114">
        <v>15</v>
      </c>
      <c r="F27" s="27" t="s">
        <v>51</v>
      </c>
      <c r="G27" s="28" t="e">
        <f t="shared" ca="1" si="0"/>
        <v>#NAME?</v>
      </c>
    </row>
    <row r="28" spans="1:7" ht="14.25">
      <c r="A28" s="114">
        <v>16</v>
      </c>
      <c r="F28" s="27" t="s">
        <v>52</v>
      </c>
      <c r="G28" s="28" t="e">
        <f t="shared" ca="1" si="0"/>
        <v>#NAME?</v>
      </c>
    </row>
    <row r="29" spans="1:7" ht="14.25">
      <c r="A29" s="114">
        <v>17</v>
      </c>
      <c r="F29" s="27" t="s">
        <v>53</v>
      </c>
      <c r="G29" s="28" t="e">
        <f ca="1">IF(G26&lt;1,IF($C$6=1,(1-$G$10)*$G$10^ROW(G17),IF($C$6&gt;=ROW(G17),(($C$4/$C$5)^ROW(G17))*$G$12/FACT(ROW(G17)),(($C$4/$C$5)^ROW(G17))*$G$12/(FACT($C$6)*($C$6^(ROW(G17)-$C$6))))),NA())</f>
        <v>#NAME?</v>
      </c>
    </row>
    <row r="30" spans="1:7" ht="14.25">
      <c r="A30" s="114">
        <v>18</v>
      </c>
      <c r="F30" s="27" t="s">
        <v>54</v>
      </c>
      <c r="G30" s="28" t="e">
        <f ca="1">IF(G27&lt;1,IF($C$6=1,(1-$G$10)*$G$10^ROW(G18),IF($C$6&gt;=ROW(G18),(($C$4/$C$5)^ROW(G18))*$G$12/FACT(ROW(G18)),(($C$4/$C$5)^ROW(G18))*$G$12/(FACT($C$6)*($C$6^(ROW(G18)-$C$6))))),NA())</f>
        <v>#NAME?</v>
      </c>
    </row>
    <row r="31" spans="1:7" ht="14.25">
      <c r="A31" s="114">
        <v>19</v>
      </c>
      <c r="F31" s="27" t="s">
        <v>55</v>
      </c>
      <c r="G31" s="28" t="e">
        <f t="shared" ref="G31:G37" ca="1" si="1">IF(G28&lt;1,IF($C$6=1,(1-$G$10)*$G$10^ROW(G19),IF($C$6&gt;=ROW(G19),(($C$4/$C$5)^ROW(G19))*$G$12/FACT(ROW(G19)),(($C$4/$C$5)^ROW(G19))*$G$12/(FACT($C$6)*($C$6^(ROW(G19)-$C$6))))),NA())</f>
        <v>#NAME?</v>
      </c>
    </row>
    <row r="32" spans="1:7" ht="14.25">
      <c r="A32" s="114">
        <v>20</v>
      </c>
      <c r="F32" s="27" t="s">
        <v>56</v>
      </c>
      <c r="G32" s="28" t="e">
        <f t="shared" ca="1" si="1"/>
        <v>#NAME?</v>
      </c>
    </row>
    <row r="33" spans="1:7" ht="14.25">
      <c r="A33" s="114">
        <v>21</v>
      </c>
      <c r="F33" s="27" t="s">
        <v>57</v>
      </c>
      <c r="G33" s="28" t="e">
        <f t="shared" ca="1" si="1"/>
        <v>#NAME?</v>
      </c>
    </row>
    <row r="34" spans="1:7" ht="14.25">
      <c r="A34" s="114">
        <v>22</v>
      </c>
      <c r="F34" s="27" t="s">
        <v>58</v>
      </c>
      <c r="G34" s="28" t="e">
        <f t="shared" ca="1" si="1"/>
        <v>#NAME?</v>
      </c>
    </row>
    <row r="35" spans="1:7" ht="14.25">
      <c r="A35" s="114">
        <v>23</v>
      </c>
      <c r="F35" s="27" t="s">
        <v>59</v>
      </c>
      <c r="G35" s="28" t="e">
        <f t="shared" ca="1" si="1"/>
        <v>#NAME?</v>
      </c>
    </row>
    <row r="36" spans="1:7" ht="14.25">
      <c r="A36" s="114">
        <v>24</v>
      </c>
      <c r="F36" s="27" t="s">
        <v>60</v>
      </c>
      <c r="G36" s="28" t="e">
        <f t="shared" ca="1" si="1"/>
        <v>#NAME?</v>
      </c>
    </row>
    <row r="37" spans="1:7" ht="15" thickBot="1">
      <c r="A37" s="114">
        <v>25</v>
      </c>
      <c r="F37" s="36" t="s">
        <v>61</v>
      </c>
      <c r="G37" s="37" t="e">
        <f t="shared" ca="1" si="1"/>
        <v>#NAME?</v>
      </c>
    </row>
    <row r="38" spans="1:7">
      <c r="F38" s="38"/>
    </row>
  </sheetData>
  <dataConsolidate/>
  <phoneticPr fontId="0" type="noConversion"/>
  <dataValidations count="5">
    <dataValidation type="decimal" operator="greaterThanOrEqual" allowBlank="1" showInputMessage="1" showErrorMessage="1" errorTitle="Warning" error="t must be greater than or equal to 0." sqref="C9">
      <formula1>0</formula1>
    </dataValidation>
    <dataValidation type="decimal" operator="greaterThanOrEqual" allowBlank="1" showInputMessage="1" showErrorMessage="1" error="t must be greater than or equal to 0." sqref="C12">
      <formula1>0</formula1>
    </dataValidation>
    <dataValidation type="whole" operator="greaterThanOrEqual" allowBlank="1" showInputMessage="1" showErrorMessage="1" error="The number of servers must be an integer greater than or equal to one." sqref="C6">
      <formula1>1</formula1>
    </dataValidation>
    <dataValidation type="decimal" operator="greaterThan" allowBlank="1" showInputMessage="1" showErrorMessage="1" error="The mean arrival rate must be greater than zero." sqref="C4">
      <formula1>0</formula1>
    </dataValidation>
    <dataValidation type="decimal" operator="greaterThan" allowBlank="1" showInputMessage="1" showErrorMessage="1" error="The mean service rate must be greater than zero." sqref="C5">
      <formula1>0</formula1>
    </dataValidation>
  </dataValidations>
  <pageMargins left="0.75" right="0.75" top="1" bottom="1" header="0.5" footer="0.5"/>
  <pageSetup paperSize="9" scale="91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7"/>
  <sheetViews>
    <sheetView workbookViewId="0">
      <selection activeCell="C4" sqref="C4"/>
    </sheetView>
  </sheetViews>
  <sheetFormatPr defaultColWidth="10.7109375" defaultRowHeight="12.75"/>
  <cols>
    <col min="1" max="1" width="2.7109375" style="50" customWidth="1"/>
    <col min="2" max="2" width="10.7109375" style="56" customWidth="1"/>
    <col min="3" max="3" width="9.42578125" style="57" customWidth="1"/>
    <col min="4" max="4" width="17.42578125" style="50" customWidth="1"/>
    <col min="5" max="5" width="24.5703125" style="50" customWidth="1"/>
    <col min="6" max="6" width="5.85546875" style="56" customWidth="1"/>
    <col min="7" max="16384" width="10.7109375" style="50"/>
  </cols>
  <sheetData>
    <row r="1" spans="1:10" ht="15.75">
      <c r="A1" s="55" t="s">
        <v>32</v>
      </c>
    </row>
    <row r="3" spans="1:10" ht="13.5" thickBot="1">
      <c r="C3" s="58" t="s">
        <v>0</v>
      </c>
      <c r="F3" s="59" t="s">
        <v>1</v>
      </c>
      <c r="G3" s="59"/>
    </row>
    <row r="4" spans="1:10">
      <c r="B4" s="3" t="s">
        <v>2</v>
      </c>
      <c r="C4" s="77">
        <v>3</v>
      </c>
      <c r="D4" s="61" t="s">
        <v>23</v>
      </c>
      <c r="E4" s="62"/>
      <c r="F4" s="63" t="s">
        <v>3</v>
      </c>
      <c r="G4" s="64">
        <f>sumnarray(G12:G37,0,MIN(C6,C7)-1,0)+G5+MIN(C6,C7)*(1-sumarray(G12:G37,0,MIN(C6,C7)-1))</f>
        <v>2</v>
      </c>
    </row>
    <row r="5" spans="1:10" ht="14.25">
      <c r="B5" s="4" t="s">
        <v>4</v>
      </c>
      <c r="C5" s="80">
        <v>3</v>
      </c>
      <c r="D5" s="66" t="s">
        <v>24</v>
      </c>
      <c r="E5" s="62"/>
      <c r="F5" s="67" t="s">
        <v>34</v>
      </c>
      <c r="G5" s="68">
        <f>IF(G10=1,sumnarray(G12:G37,C6,C7,C6),G12*((C4/C5)^MIN(C6,C7))*G10/(FACT(MIN(C6,C7))*(1-G10)^2)*(1-(G10^(C7-MIN(C6,C7)))-(C7-MIN(C6,C7))*(G10^(C7-MIN(C6,C7)))*(1-G10)))</f>
        <v>1.2000000000000002</v>
      </c>
    </row>
    <row r="6" spans="1:10">
      <c r="B6" s="65" t="s">
        <v>5</v>
      </c>
      <c r="C6" s="80">
        <v>1</v>
      </c>
      <c r="D6" s="66" t="s">
        <v>6</v>
      </c>
      <c r="E6" s="62"/>
      <c r="F6" s="67"/>
      <c r="G6" s="68"/>
    </row>
    <row r="7" spans="1:10" ht="13.5" thickBot="1">
      <c r="B7" s="69" t="s">
        <v>20</v>
      </c>
      <c r="C7" s="100">
        <v>4</v>
      </c>
      <c r="D7" s="70" t="s">
        <v>21</v>
      </c>
      <c r="E7" s="62"/>
      <c r="F7" s="67" t="s">
        <v>7</v>
      </c>
      <c r="G7" s="68">
        <f>G4/(C4*(1-(((C4/C5)^C7)/(FACT(MIN(C6,C7))*MIN(C6,C7)^(C7-MIN(C6,C7)))*G12)))</f>
        <v>0.83333333333333326</v>
      </c>
    </row>
    <row r="8" spans="1:10" ht="14.25">
      <c r="B8" s="50"/>
      <c r="C8" s="50"/>
      <c r="F8" s="67" t="s">
        <v>35</v>
      </c>
      <c r="G8" s="68">
        <f>G5/(C4*(1-(((C4/C5)^C7)/(FACT(MIN(C6,C7))*MIN(C6,C7)^(C7-MIN(C6,C7)))*G12)))</f>
        <v>0.5</v>
      </c>
    </row>
    <row r="9" spans="1:10">
      <c r="F9" s="67"/>
      <c r="G9" s="68"/>
    </row>
    <row r="10" spans="1:10">
      <c r="B10" s="50"/>
      <c r="C10" s="50"/>
      <c r="F10" s="11" t="s">
        <v>9</v>
      </c>
      <c r="G10" s="68">
        <f>C4/(MIN(C6,C7)*C5)</f>
        <v>1</v>
      </c>
    </row>
    <row r="11" spans="1:10">
      <c r="B11" s="71"/>
      <c r="C11" s="72"/>
      <c r="F11" s="67"/>
      <c r="G11" s="68"/>
    </row>
    <row r="12" spans="1:10" ht="14.25">
      <c r="B12" s="71"/>
      <c r="C12" s="73"/>
      <c r="F12" s="67" t="s">
        <v>36</v>
      </c>
      <c r="G12" s="68">
        <f>IF(C7&gt;=C6+1,1/(1+(sumxpf(C4/C5,1,C6)+((C4/C5)^C6)/FACT(C6)*sumxp(C4/(C6*C5),C6+1,C7))),1/(1+sumxpf(C4/C5,1,MIN(C6,C7))))</f>
        <v>0.2</v>
      </c>
      <c r="I12" s="74"/>
      <c r="J12" s="74"/>
    </row>
    <row r="13" spans="1:10" ht="14.25">
      <c r="B13" s="71"/>
      <c r="C13" s="72"/>
      <c r="F13" s="67" t="s">
        <v>37</v>
      </c>
      <c r="G13" s="68">
        <f>IF(ROW(G1)&gt;$C$7,0,IF(ROW(G1)&gt;=MIN($C$6,$C$7),(($C$4/$C$5)^ROW(G1))/(FACT(MIN($C$6,$C$7))*(MIN($C$6,$C$7)^(ROW(G1)-MIN($C$6,$C$7))))*$G$12,(($C$4/$C$5)^ROW(G1))/FACT(ROW(G1))*$G$12))</f>
        <v>0.2</v>
      </c>
      <c r="I13" s="74"/>
      <c r="J13" s="74"/>
    </row>
    <row r="14" spans="1:10" ht="14.25">
      <c r="B14" s="71"/>
      <c r="C14" s="72"/>
      <c r="F14" s="67" t="s">
        <v>38</v>
      </c>
      <c r="G14" s="68">
        <f t="shared" ref="G14:G37" si="0">IF(ROW(G2)&gt;$C$7,0,IF(ROW(G2)&gt;=MIN($C$6,$C$7),(($C$4/$C$5)^ROW(G2))/(FACT(MIN($C$6,$C$7))*(MIN($C$6,$C$7)^(ROW(G2)-MIN($C$6,$C$7))))*$G$12,(($C$4/$C$5)^ROW(G2))/FACT(ROW(G2))*$G$12))</f>
        <v>0.2</v>
      </c>
      <c r="I14" s="74"/>
      <c r="J14" s="74"/>
    </row>
    <row r="15" spans="1:10" ht="14.25">
      <c r="C15" s="58"/>
      <c r="F15" s="67" t="s">
        <v>39</v>
      </c>
      <c r="G15" s="68">
        <f t="shared" si="0"/>
        <v>0.2</v>
      </c>
      <c r="I15" s="74"/>
      <c r="J15" s="74"/>
    </row>
    <row r="16" spans="1:10" ht="14.25">
      <c r="B16" s="50"/>
      <c r="C16" s="50"/>
      <c r="F16" s="67" t="s">
        <v>40</v>
      </c>
      <c r="G16" s="68">
        <f t="shared" si="0"/>
        <v>0.2</v>
      </c>
      <c r="I16" s="74"/>
      <c r="J16" s="74"/>
    </row>
    <row r="17" spans="2:10" ht="14.25">
      <c r="B17" s="50"/>
      <c r="C17" s="50"/>
      <c r="F17" s="67" t="s">
        <v>41</v>
      </c>
      <c r="G17" s="68">
        <f t="shared" si="0"/>
        <v>0</v>
      </c>
      <c r="I17" s="74"/>
      <c r="J17" s="74"/>
    </row>
    <row r="18" spans="2:10" ht="14.25">
      <c r="B18" s="50"/>
      <c r="F18" s="67" t="s">
        <v>42</v>
      </c>
      <c r="G18" s="68">
        <f t="shared" si="0"/>
        <v>0</v>
      </c>
      <c r="I18" s="74"/>
      <c r="J18" s="74"/>
    </row>
    <row r="19" spans="2:10" ht="14.25">
      <c r="B19" s="50"/>
      <c r="F19" s="67" t="s">
        <v>43</v>
      </c>
      <c r="G19" s="68">
        <f t="shared" si="0"/>
        <v>0</v>
      </c>
      <c r="I19" s="74"/>
      <c r="J19" s="74"/>
    </row>
    <row r="20" spans="2:10" ht="14.25">
      <c r="B20" s="50"/>
      <c r="F20" s="67" t="s">
        <v>44</v>
      </c>
      <c r="G20" s="68">
        <f t="shared" si="0"/>
        <v>0</v>
      </c>
      <c r="I20" s="74"/>
      <c r="J20" s="74"/>
    </row>
    <row r="21" spans="2:10" ht="14.25">
      <c r="F21" s="67" t="s">
        <v>45</v>
      </c>
      <c r="G21" s="68">
        <f t="shared" si="0"/>
        <v>0</v>
      </c>
      <c r="I21" s="74"/>
      <c r="J21" s="74"/>
    </row>
    <row r="22" spans="2:10" ht="14.25">
      <c r="F22" s="67" t="s">
        <v>46</v>
      </c>
      <c r="G22" s="68">
        <f t="shared" si="0"/>
        <v>0</v>
      </c>
      <c r="I22" s="74"/>
      <c r="J22" s="74"/>
    </row>
    <row r="23" spans="2:10" ht="14.25">
      <c r="F23" s="67" t="s">
        <v>47</v>
      </c>
      <c r="G23" s="68">
        <f t="shared" si="0"/>
        <v>0</v>
      </c>
    </row>
    <row r="24" spans="2:10" ht="14.25">
      <c r="F24" s="67" t="s">
        <v>48</v>
      </c>
      <c r="G24" s="68">
        <f t="shared" si="0"/>
        <v>0</v>
      </c>
    </row>
    <row r="25" spans="2:10" ht="14.25">
      <c r="F25" s="67" t="s">
        <v>49</v>
      </c>
      <c r="G25" s="68">
        <f t="shared" si="0"/>
        <v>0</v>
      </c>
    </row>
    <row r="26" spans="2:10" ht="14.25">
      <c r="F26" s="67" t="s">
        <v>50</v>
      </c>
      <c r="G26" s="68">
        <f t="shared" si="0"/>
        <v>0</v>
      </c>
    </row>
    <row r="27" spans="2:10" ht="14.25">
      <c r="F27" s="67" t="s">
        <v>51</v>
      </c>
      <c r="G27" s="68">
        <f t="shared" si="0"/>
        <v>0</v>
      </c>
    </row>
    <row r="28" spans="2:10" ht="14.25">
      <c r="F28" s="67" t="s">
        <v>52</v>
      </c>
      <c r="G28" s="68">
        <f t="shared" si="0"/>
        <v>0</v>
      </c>
    </row>
    <row r="29" spans="2:10" ht="14.25">
      <c r="F29" s="67" t="s">
        <v>53</v>
      </c>
      <c r="G29" s="68">
        <f t="shared" si="0"/>
        <v>0</v>
      </c>
    </row>
    <row r="30" spans="2:10" ht="14.25">
      <c r="F30" s="67" t="s">
        <v>54</v>
      </c>
      <c r="G30" s="68">
        <f t="shared" si="0"/>
        <v>0</v>
      </c>
    </row>
    <row r="31" spans="2:10" ht="14.25">
      <c r="F31" s="67" t="s">
        <v>55</v>
      </c>
      <c r="G31" s="68">
        <f t="shared" si="0"/>
        <v>0</v>
      </c>
    </row>
    <row r="32" spans="2:10" ht="14.25">
      <c r="F32" s="67" t="s">
        <v>56</v>
      </c>
      <c r="G32" s="68">
        <f t="shared" si="0"/>
        <v>0</v>
      </c>
    </row>
    <row r="33" spans="6:7" ht="14.25">
      <c r="F33" s="67" t="s">
        <v>57</v>
      </c>
      <c r="G33" s="68">
        <f t="shared" si="0"/>
        <v>0</v>
      </c>
    </row>
    <row r="34" spans="6:7" ht="14.25">
      <c r="F34" s="67" t="s">
        <v>58</v>
      </c>
      <c r="G34" s="68">
        <f t="shared" si="0"/>
        <v>0</v>
      </c>
    </row>
    <row r="35" spans="6:7" ht="14.25">
      <c r="F35" s="67" t="s">
        <v>59</v>
      </c>
      <c r="G35" s="68">
        <f t="shared" si="0"/>
        <v>0</v>
      </c>
    </row>
    <row r="36" spans="6:7" ht="14.25">
      <c r="F36" s="67" t="s">
        <v>60</v>
      </c>
      <c r="G36" s="68">
        <f t="shared" si="0"/>
        <v>0</v>
      </c>
    </row>
    <row r="37" spans="6:7" ht="15" thickBot="1">
      <c r="F37" s="75" t="s">
        <v>61</v>
      </c>
      <c r="G37" s="76">
        <f t="shared" si="0"/>
        <v>0</v>
      </c>
    </row>
  </sheetData>
  <phoneticPr fontId="0" type="noConversion"/>
  <dataValidations count="4">
    <dataValidation type="whole" operator="greaterThanOrEqual" allowBlank="1" showInputMessage="1" showErrorMessage="1" error="The number of servers must be an integer greater than or equal to one." sqref="C6">
      <formula1>1</formula1>
    </dataValidation>
    <dataValidation type="whole" allowBlank="1" showInputMessage="1" showErrorMessage="1" error="The maximum number of customers must be an integer between 1 and 25 (inclusive)." sqref="C7">
      <formula1>1</formula1>
      <formula2>25</formula2>
    </dataValidation>
    <dataValidation type="decimal" operator="greaterThan" allowBlank="1" showInputMessage="1" showErrorMessage="1" error="The mean arrival rate must be greater than zero." sqref="C4">
      <formula1>0</formula1>
    </dataValidation>
    <dataValidation type="whole" operator="greaterThan" allowBlank="1" showInputMessage="1" showErrorMessage="1" error="The mean service rate must be greater than zero." sqref="C5">
      <formula1>0</formula1>
    </dataValidation>
  </dataValidations>
  <pageMargins left="0.75" right="0.75" top="1" bottom="1" header="0.5" footer="0.5"/>
  <pageSetup paperSize="0" scale="93" orientation="landscape" horizontalDpi="4294967292" verticalDpi="429496729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G38"/>
  <sheetViews>
    <sheetView workbookViewId="0">
      <selection activeCell="C4" sqref="C4"/>
    </sheetView>
  </sheetViews>
  <sheetFormatPr defaultColWidth="10.7109375" defaultRowHeight="12.75"/>
  <cols>
    <col min="1" max="1" width="2.7109375" style="34" customWidth="1"/>
    <col min="2" max="2" width="10.7109375" style="45" customWidth="1"/>
    <col min="3" max="3" width="9.42578125" style="46" customWidth="1"/>
    <col min="4" max="4" width="17.28515625" style="34" customWidth="1"/>
    <col min="5" max="5" width="24.85546875" style="34" customWidth="1"/>
    <col min="6" max="6" width="6.85546875" style="45" customWidth="1"/>
    <col min="7" max="16384" width="10.7109375" style="34"/>
  </cols>
  <sheetData>
    <row r="1" spans="1:7" ht="15.75">
      <c r="A1" s="44" t="s">
        <v>33</v>
      </c>
    </row>
    <row r="3" spans="1:7" ht="13.5" thickBot="1">
      <c r="C3" s="47" t="s">
        <v>0</v>
      </c>
      <c r="F3" s="48" t="s">
        <v>1</v>
      </c>
      <c r="G3" s="48"/>
    </row>
    <row r="4" spans="1:7">
      <c r="B4" s="1" t="s">
        <v>2</v>
      </c>
      <c r="C4" s="20">
        <v>0.2</v>
      </c>
      <c r="D4" s="21" t="s">
        <v>73</v>
      </c>
      <c r="E4" s="49"/>
      <c r="F4" s="22" t="s">
        <v>3</v>
      </c>
      <c r="G4" s="23">
        <f>sumnarray(G13:G38,0,MIN(C6,C7)-1,0)+G5+MIN(C6,C7)*(1-sumarray(G13:G38,0,MIN(C6,C7)-1))</f>
        <v>1.4243391066545126</v>
      </c>
    </row>
    <row r="5" spans="1:7" ht="14.25">
      <c r="B5" s="2" t="s">
        <v>4</v>
      </c>
      <c r="C5" s="25">
        <v>1</v>
      </c>
      <c r="D5" s="26" t="s">
        <v>24</v>
      </c>
      <c r="E5" s="49"/>
      <c r="F5" s="27" t="s">
        <v>34</v>
      </c>
      <c r="G5" s="28">
        <f>sumnarray(G13:G38,MIN(C6,C7),C7,MIN(C6,C7))</f>
        <v>0.70920692798541485</v>
      </c>
    </row>
    <row r="6" spans="1:7">
      <c r="B6" s="24" t="s">
        <v>5</v>
      </c>
      <c r="C6" s="25">
        <v>1</v>
      </c>
      <c r="D6" s="26" t="s">
        <v>6</v>
      </c>
      <c r="E6" s="49"/>
      <c r="F6" s="27"/>
      <c r="G6" s="28"/>
    </row>
    <row r="7" spans="1:7" ht="13.5" thickBot="1">
      <c r="B7" s="29" t="s">
        <v>14</v>
      </c>
      <c r="C7" s="30">
        <v>5</v>
      </c>
      <c r="D7" s="31" t="s">
        <v>22</v>
      </c>
      <c r="E7" s="49"/>
      <c r="F7" s="27" t="s">
        <v>7</v>
      </c>
      <c r="G7" s="28">
        <f>G4/(C4*(C7-G4))</f>
        <v>1.9917144678138947</v>
      </c>
    </row>
    <row r="8" spans="1:7" ht="14.25">
      <c r="B8" s="50"/>
      <c r="C8" s="50"/>
      <c r="D8" s="50"/>
      <c r="E8" s="50"/>
      <c r="F8" s="27" t="s">
        <v>35</v>
      </c>
      <c r="G8" s="28">
        <f>G5/(C4*(C7-G4))</f>
        <v>0.99171446781389438</v>
      </c>
    </row>
    <row r="9" spans="1:7">
      <c r="B9" s="51"/>
      <c r="C9" s="52"/>
      <c r="D9" s="49"/>
      <c r="E9" s="49"/>
      <c r="F9" s="27"/>
      <c r="G9" s="28"/>
    </row>
    <row r="10" spans="1:7">
      <c r="B10" s="50"/>
      <c r="C10" s="50"/>
      <c r="D10" s="50"/>
      <c r="E10" s="50"/>
      <c r="F10" s="9" t="s">
        <v>9</v>
      </c>
      <c r="G10" s="28">
        <f>C4*C7/(C6*C5)</f>
        <v>1</v>
      </c>
    </row>
    <row r="11" spans="1:7">
      <c r="B11" s="15"/>
      <c r="C11" s="16"/>
      <c r="F11" s="10" t="s">
        <v>63</v>
      </c>
      <c r="G11" s="53">
        <f>C4*(C7-G4)</f>
        <v>0.71513217866909751</v>
      </c>
    </row>
    <row r="12" spans="1:7">
      <c r="B12" s="15"/>
      <c r="C12" s="54"/>
      <c r="F12" s="27"/>
      <c r="G12" s="28"/>
    </row>
    <row r="13" spans="1:7" ht="14.25">
      <c r="A13" s="117">
        <v>0</v>
      </c>
      <c r="B13" s="15"/>
      <c r="C13" s="16"/>
      <c r="F13" s="27" t="s">
        <v>36</v>
      </c>
      <c r="G13" s="28">
        <f>1/(finitepop(C4/C5,MIN(C6,C7),C7))</f>
        <v>0.28486782133090244</v>
      </c>
    </row>
    <row r="14" spans="1:7" ht="14.25">
      <c r="A14" s="117">
        <v>1</v>
      </c>
      <c r="B14" s="15"/>
      <c r="C14" s="16"/>
      <c r="F14" s="27" t="s">
        <v>37</v>
      </c>
      <c r="G14" s="28">
        <f>IF(ROW(G1)&lt;=MIN($C$6,$C$7),FACT($C$7)*(($C$4/$C$5)^ROW(G1))*$G$13/(FACT($C$7-ROW(G1))*FACT(ROW(G1))),IF(ROW(G1)&lt;=$C$7,FACT($C$7)*(($C$4/$C$5)^ROW(G1))*$G$13/(FACT($C$7-ROW(G1))*FACT($C$6)*($C$6^(ROW(G1)-$C$6))),0))</f>
        <v>0.28486782133090244</v>
      </c>
    </row>
    <row r="15" spans="1:7" ht="14.25">
      <c r="A15" s="117">
        <v>2</v>
      </c>
      <c r="C15" s="47"/>
      <c r="F15" s="27" t="s">
        <v>38</v>
      </c>
      <c r="G15" s="28">
        <f t="shared" ref="G15:G38" si="0">IF(ROW(G2)&lt;=MIN($C$6,$C$7),FACT($C$7)*(($C$4/$C$5)^ROW(G2))*$G$13/(FACT($C$7-ROW(G2))*FACT(ROW(G2))),IF(ROW(G2)&lt;=$C$7,FACT($C$7)*(($C$4/$C$5)^ROW(G2))*$G$13/(FACT($C$7-ROW(G2))*FACT($C$6)*($C$6^(ROW(G2)-$C$6))),0))</f>
        <v>0.22789425706472199</v>
      </c>
    </row>
    <row r="16" spans="1:7" ht="14.25">
      <c r="A16" s="117">
        <v>3</v>
      </c>
      <c r="B16" s="34"/>
      <c r="C16" s="34"/>
      <c r="F16" s="27" t="s">
        <v>39</v>
      </c>
      <c r="G16" s="28">
        <f t="shared" si="0"/>
        <v>0.13673655423883319</v>
      </c>
    </row>
    <row r="17" spans="1:7" ht="14.25">
      <c r="A17" s="117">
        <v>4</v>
      </c>
      <c r="B17" s="34"/>
      <c r="C17" s="34"/>
      <c r="F17" s="27" t="s">
        <v>40</v>
      </c>
      <c r="G17" s="28">
        <f t="shared" si="0"/>
        <v>5.469462169553329E-2</v>
      </c>
    </row>
    <row r="18" spans="1:7" ht="14.25">
      <c r="A18" s="117">
        <v>5</v>
      </c>
      <c r="B18" s="34"/>
      <c r="F18" s="27" t="s">
        <v>41</v>
      </c>
      <c r="G18" s="28">
        <f t="shared" si="0"/>
        <v>1.093892433910666E-2</v>
      </c>
    </row>
    <row r="19" spans="1:7" ht="14.25">
      <c r="A19" s="117">
        <v>6</v>
      </c>
      <c r="B19" s="34"/>
      <c r="F19" s="27" t="s">
        <v>42</v>
      </c>
      <c r="G19" s="28">
        <f t="shared" si="0"/>
        <v>0</v>
      </c>
    </row>
    <row r="20" spans="1:7" ht="14.25">
      <c r="A20" s="117">
        <v>7</v>
      </c>
      <c r="B20" s="34"/>
      <c r="F20" s="27" t="s">
        <v>43</v>
      </c>
      <c r="G20" s="28">
        <f t="shared" si="0"/>
        <v>0</v>
      </c>
    </row>
    <row r="21" spans="1:7" ht="14.25">
      <c r="A21" s="117">
        <v>8</v>
      </c>
      <c r="F21" s="27" t="s">
        <v>44</v>
      </c>
      <c r="G21" s="28">
        <f t="shared" si="0"/>
        <v>0</v>
      </c>
    </row>
    <row r="22" spans="1:7" ht="14.25">
      <c r="A22" s="117">
        <v>9</v>
      </c>
      <c r="F22" s="27" t="s">
        <v>45</v>
      </c>
      <c r="G22" s="28">
        <f t="shared" si="0"/>
        <v>0</v>
      </c>
    </row>
    <row r="23" spans="1:7" ht="14.25">
      <c r="A23" s="117">
        <v>10</v>
      </c>
      <c r="F23" s="27" t="s">
        <v>46</v>
      </c>
      <c r="G23" s="28">
        <f t="shared" si="0"/>
        <v>0</v>
      </c>
    </row>
    <row r="24" spans="1:7" ht="14.25">
      <c r="A24" s="117">
        <v>11</v>
      </c>
      <c r="F24" s="27" t="s">
        <v>47</v>
      </c>
      <c r="G24" s="28">
        <f t="shared" si="0"/>
        <v>0</v>
      </c>
    </row>
    <row r="25" spans="1:7" ht="14.25">
      <c r="A25" s="117">
        <v>12</v>
      </c>
      <c r="F25" s="27" t="s">
        <v>48</v>
      </c>
      <c r="G25" s="28">
        <f t="shared" si="0"/>
        <v>0</v>
      </c>
    </row>
    <row r="26" spans="1:7" ht="14.25">
      <c r="A26" s="117">
        <v>13</v>
      </c>
      <c r="F26" s="27" t="s">
        <v>49</v>
      </c>
      <c r="G26" s="28">
        <f t="shared" si="0"/>
        <v>0</v>
      </c>
    </row>
    <row r="27" spans="1:7" ht="14.25">
      <c r="A27" s="117">
        <v>14</v>
      </c>
      <c r="F27" s="27" t="s">
        <v>50</v>
      </c>
      <c r="G27" s="28">
        <f t="shared" si="0"/>
        <v>0</v>
      </c>
    </row>
    <row r="28" spans="1:7" ht="14.25">
      <c r="A28" s="117">
        <v>15</v>
      </c>
      <c r="F28" s="27" t="s">
        <v>51</v>
      </c>
      <c r="G28" s="28">
        <f t="shared" si="0"/>
        <v>0</v>
      </c>
    </row>
    <row r="29" spans="1:7" ht="14.25">
      <c r="A29" s="117">
        <v>16</v>
      </c>
      <c r="F29" s="27" t="s">
        <v>52</v>
      </c>
      <c r="G29" s="28">
        <f t="shared" si="0"/>
        <v>0</v>
      </c>
    </row>
    <row r="30" spans="1:7" ht="14.25">
      <c r="A30" s="117">
        <v>17</v>
      </c>
      <c r="F30" s="27" t="s">
        <v>53</v>
      </c>
      <c r="G30" s="28">
        <f t="shared" si="0"/>
        <v>0</v>
      </c>
    </row>
    <row r="31" spans="1:7" ht="14.25">
      <c r="A31" s="117">
        <v>18</v>
      </c>
      <c r="F31" s="27" t="s">
        <v>54</v>
      </c>
      <c r="G31" s="28">
        <f t="shared" si="0"/>
        <v>0</v>
      </c>
    </row>
    <row r="32" spans="1:7" ht="14.25">
      <c r="A32" s="117">
        <v>19</v>
      </c>
      <c r="F32" s="27" t="s">
        <v>55</v>
      </c>
      <c r="G32" s="28">
        <f t="shared" si="0"/>
        <v>0</v>
      </c>
    </row>
    <row r="33" spans="1:7" ht="14.25">
      <c r="A33" s="117">
        <v>20</v>
      </c>
      <c r="F33" s="27" t="s">
        <v>56</v>
      </c>
      <c r="G33" s="28">
        <f t="shared" si="0"/>
        <v>0</v>
      </c>
    </row>
    <row r="34" spans="1:7" ht="14.25">
      <c r="A34" s="117">
        <v>21</v>
      </c>
      <c r="F34" s="27" t="s">
        <v>57</v>
      </c>
      <c r="G34" s="28">
        <f t="shared" si="0"/>
        <v>0</v>
      </c>
    </row>
    <row r="35" spans="1:7" ht="14.25">
      <c r="A35" s="117">
        <v>22</v>
      </c>
      <c r="F35" s="27" t="s">
        <v>58</v>
      </c>
      <c r="G35" s="28">
        <f t="shared" si="0"/>
        <v>0</v>
      </c>
    </row>
    <row r="36" spans="1:7" ht="14.25">
      <c r="A36" s="117">
        <v>23</v>
      </c>
      <c r="F36" s="27" t="s">
        <v>59</v>
      </c>
      <c r="G36" s="28">
        <f t="shared" si="0"/>
        <v>0</v>
      </c>
    </row>
    <row r="37" spans="1:7" ht="14.25">
      <c r="A37" s="117">
        <v>24</v>
      </c>
      <c r="F37" s="27" t="s">
        <v>60</v>
      </c>
      <c r="G37" s="28">
        <f t="shared" si="0"/>
        <v>0</v>
      </c>
    </row>
    <row r="38" spans="1:7" ht="15" thickBot="1">
      <c r="A38" s="117">
        <v>25</v>
      </c>
      <c r="F38" s="36" t="s">
        <v>61</v>
      </c>
      <c r="G38" s="37">
        <f t="shared" si="0"/>
        <v>0</v>
      </c>
    </row>
  </sheetData>
  <phoneticPr fontId="0" type="noConversion"/>
  <dataValidations count="4">
    <dataValidation type="whole" operator="greaterThanOrEqual" allowBlank="1" showInputMessage="1" showErrorMessage="1" error="The number of servers must be an integer greater than or equal to one." sqref="C6">
      <formula1>1</formula1>
    </dataValidation>
    <dataValidation type="whole" allowBlank="1" showInputMessage="1" showErrorMessage="1" error="The size of the population must be an integer between 1 and 25 (inclusive)." sqref="C7">
      <formula1>1</formula1>
      <formula2>25</formula2>
    </dataValidation>
    <dataValidation type="decimal" operator="greaterThan" allowBlank="1" showInputMessage="1" showErrorMessage="1" error="The maximum arrival rate must be greater than or equal to zero." sqref="C4">
      <formula1>0</formula1>
    </dataValidation>
    <dataValidation type="decimal" operator="greaterThan" allowBlank="1" showInputMessage="1" showErrorMessage="1" error="The mean service rate must be greater than zero." sqref="C5">
      <formula1>0</formula1>
    </dataValidation>
  </dataValidations>
  <pageMargins left="0.75" right="0.75" top="1" bottom="1" header="0.5" footer="0.5"/>
  <pageSetup paperSize="0" scale="91" orientation="landscape" horizontalDpi="4294967292" verticalDpi="429496729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0"/>
  <sheetViews>
    <sheetView workbookViewId="0">
      <selection activeCell="C5" sqref="C5"/>
    </sheetView>
  </sheetViews>
  <sheetFormatPr defaultColWidth="10.7109375" defaultRowHeight="12.75"/>
  <cols>
    <col min="1" max="1" width="2.7109375" style="17" customWidth="1"/>
    <col min="2" max="2" width="10.7109375" style="15" customWidth="1"/>
    <col min="3" max="3" width="9.42578125" style="16" customWidth="1"/>
    <col min="4" max="4" width="17.85546875" style="17" customWidth="1"/>
    <col min="5" max="5" width="4.7109375" style="17" customWidth="1"/>
    <col min="6" max="6" width="5.85546875" style="15" customWidth="1"/>
    <col min="7" max="16384" width="10.7109375" style="17"/>
  </cols>
  <sheetData>
    <row r="1" spans="1:7" ht="15.75">
      <c r="A1" s="14" t="s">
        <v>27</v>
      </c>
    </row>
    <row r="3" spans="1:7" ht="13.5" thickBot="1">
      <c r="C3" s="54" t="s">
        <v>0</v>
      </c>
      <c r="F3" s="107" t="s">
        <v>1</v>
      </c>
      <c r="G3" s="107"/>
    </row>
    <row r="4" spans="1:7">
      <c r="B4" s="7" t="s">
        <v>2</v>
      </c>
      <c r="C4" s="20">
        <v>9</v>
      </c>
      <c r="D4" s="39" t="s">
        <v>23</v>
      </c>
      <c r="F4" s="108" t="s">
        <v>3</v>
      </c>
      <c r="G4" s="109">
        <f>IF(G10&lt;1,G5+C4*C5,NA())</f>
        <v>9.0000000000000036</v>
      </c>
    </row>
    <row r="5" spans="1:7" ht="14.25">
      <c r="B5" s="8" t="s">
        <v>10</v>
      </c>
      <c r="C5" s="25">
        <v>0.1</v>
      </c>
      <c r="D5" s="40" t="s">
        <v>25</v>
      </c>
      <c r="F5" s="41" t="s">
        <v>34</v>
      </c>
      <c r="G5" s="53">
        <f>IF(G10&lt;1,((C4^2)*(C6^2)+(G10^2))/(2*(1-G10)),NA())</f>
        <v>8.1000000000000032</v>
      </c>
    </row>
    <row r="6" spans="1:7">
      <c r="B6" s="8" t="s">
        <v>5</v>
      </c>
      <c r="C6" s="25">
        <v>0.1</v>
      </c>
      <c r="D6" s="40" t="s">
        <v>11</v>
      </c>
      <c r="F6" s="41"/>
      <c r="G6" s="53"/>
    </row>
    <row r="7" spans="1:7" ht="13.5" thickBot="1">
      <c r="B7" s="110" t="s">
        <v>5</v>
      </c>
      <c r="C7" s="111">
        <v>1</v>
      </c>
      <c r="D7" s="43" t="s">
        <v>6</v>
      </c>
      <c r="F7" s="41" t="s">
        <v>7</v>
      </c>
      <c r="G7" s="53">
        <f>IF(G10&lt;1,G4/C4,NA())</f>
        <v>1.0000000000000004</v>
      </c>
    </row>
    <row r="8" spans="1:7" ht="14.25">
      <c r="B8" s="17"/>
      <c r="C8" s="17"/>
      <c r="F8" s="41" t="s">
        <v>35</v>
      </c>
      <c r="G8" s="53">
        <f>IF(G10&lt;1,G5/C4,NA())</f>
        <v>0.90000000000000036</v>
      </c>
    </row>
    <row r="9" spans="1:7">
      <c r="B9" s="50"/>
      <c r="C9" s="50"/>
      <c r="D9" s="50"/>
      <c r="E9" s="50"/>
      <c r="F9" s="41"/>
      <c r="G9" s="53"/>
    </row>
    <row r="10" spans="1:7">
      <c r="D10" s="115" t="str">
        <f>IF(G10&gt;=1,"Model invalid because:","")</f>
        <v/>
      </c>
      <c r="F10" s="10" t="s">
        <v>9</v>
      </c>
      <c r="G10" s="53">
        <f>C4*C5</f>
        <v>0.9</v>
      </c>
    </row>
    <row r="11" spans="1:7" ht="15.75">
      <c r="D11" s="116" t="str">
        <f>IF(G10&gt;=1,"   r   &gt;=   1","")</f>
        <v/>
      </c>
      <c r="F11" s="41"/>
      <c r="G11" s="53"/>
    </row>
    <row r="12" spans="1:7" ht="15" thickBot="1">
      <c r="C12" s="54"/>
      <c r="D12" s="112"/>
      <c r="E12" s="112"/>
      <c r="F12" s="42" t="s">
        <v>36</v>
      </c>
      <c r="G12" s="113">
        <f>IF(G10&lt;1,1-G10,NA())</f>
        <v>9.9999999999999978E-2</v>
      </c>
    </row>
    <row r="15" spans="1:7">
      <c r="C15" s="54"/>
    </row>
    <row r="16" spans="1:7">
      <c r="B16" s="17"/>
      <c r="C16" s="17"/>
    </row>
    <row r="17" spans="2:3">
      <c r="B17" s="17"/>
      <c r="C17" s="17"/>
    </row>
    <row r="18" spans="2:3">
      <c r="B18" s="17"/>
    </row>
    <row r="19" spans="2:3">
      <c r="B19" s="17"/>
    </row>
    <row r="20" spans="2:3">
      <c r="B20" s="17"/>
    </row>
  </sheetData>
  <phoneticPr fontId="0" type="noConversion"/>
  <dataValidations count="4">
    <dataValidation type="decimal" operator="greaterThan" allowBlank="1" showInputMessage="1" showErrorMessage="1" error="The mean arrival rate must be greater than zero." sqref="C4">
      <formula1>0</formula1>
    </dataValidation>
    <dataValidation type="decimal" operator="greaterThan" allowBlank="1" showInputMessage="1" showErrorMessage="1" error="The expected service time must be greater than  zero." sqref="C5">
      <formula1>0</formula1>
    </dataValidation>
    <dataValidation type="decimal" operator="greaterThanOrEqual" allowBlank="1" showInputMessage="1" showErrorMessage="1" error="The standard deviation of service time must be greater than or equal to zero." sqref="C6">
      <formula1>0</formula1>
    </dataValidation>
    <dataValidation type="whole" operator="equal" allowBlank="1" showInputMessage="1" showErrorMessage="1" error="The number of servers must equal one." sqref="C7">
      <formula1>1</formula1>
    </dataValidation>
  </dataValidations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0"/>
  <sheetViews>
    <sheetView workbookViewId="0">
      <selection activeCell="C6" sqref="C6"/>
    </sheetView>
  </sheetViews>
  <sheetFormatPr defaultColWidth="10.7109375" defaultRowHeight="12.75"/>
  <cols>
    <col min="1" max="1" width="2.7109375" style="50" customWidth="1"/>
    <col min="2" max="2" width="10.7109375" style="56" customWidth="1"/>
    <col min="3" max="3" width="9.42578125" style="57" customWidth="1"/>
    <col min="4" max="4" width="17.28515625" style="50" customWidth="1"/>
    <col min="5" max="5" width="4.7109375" style="50" customWidth="1"/>
    <col min="6" max="6" width="5.85546875" style="56" customWidth="1"/>
    <col min="7" max="16384" width="10.7109375" style="50"/>
  </cols>
  <sheetData>
    <row r="1" spans="1:7" ht="15.75">
      <c r="A1" s="55" t="s">
        <v>28</v>
      </c>
    </row>
    <row r="3" spans="1:7" ht="13.5" thickBot="1">
      <c r="C3" s="58" t="s">
        <v>0</v>
      </c>
      <c r="F3" s="59" t="s">
        <v>1</v>
      </c>
      <c r="G3" s="59"/>
    </row>
    <row r="4" spans="1:7">
      <c r="B4" s="3" t="s">
        <v>2</v>
      </c>
      <c r="C4" s="77">
        <v>9</v>
      </c>
      <c r="D4" s="61" t="s">
        <v>23</v>
      </c>
      <c r="F4" s="63" t="s">
        <v>3</v>
      </c>
      <c r="G4" s="64">
        <f>IF(G10&lt;1,G5+C4/C5,NA())</f>
        <v>4.950000000000002</v>
      </c>
    </row>
    <row r="5" spans="1:7" ht="14.25">
      <c r="B5" s="4" t="s">
        <v>4</v>
      </c>
      <c r="C5" s="80">
        <v>10</v>
      </c>
      <c r="D5" s="66" t="s">
        <v>24</v>
      </c>
      <c r="F5" s="67" t="s">
        <v>34</v>
      </c>
      <c r="G5" s="68">
        <f>IF(G10&lt;1,(G10^2)/(2*(1-G10)),NA())</f>
        <v>4.0500000000000016</v>
      </c>
    </row>
    <row r="6" spans="1:7" ht="13.5" thickBot="1">
      <c r="B6" s="69" t="s">
        <v>5</v>
      </c>
      <c r="C6" s="82">
        <v>1</v>
      </c>
      <c r="D6" s="70" t="s">
        <v>6</v>
      </c>
      <c r="F6" s="67"/>
      <c r="G6" s="68"/>
    </row>
    <row r="7" spans="1:7">
      <c r="C7" s="58"/>
      <c r="F7" s="67" t="s">
        <v>7</v>
      </c>
      <c r="G7" s="68">
        <f>IF(G10&lt;1,G4/C4,NA())</f>
        <v>0.55000000000000027</v>
      </c>
    </row>
    <row r="8" spans="1:7" ht="14.25">
      <c r="B8" s="50"/>
      <c r="C8" s="50"/>
      <c r="F8" s="67" t="s">
        <v>35</v>
      </c>
      <c r="G8" s="68">
        <f>IF(G10&lt;1,G5/C4,NA())</f>
        <v>0.45000000000000018</v>
      </c>
    </row>
    <row r="9" spans="1:7">
      <c r="B9" s="50"/>
      <c r="C9" s="50"/>
      <c r="F9" s="67"/>
      <c r="G9" s="68"/>
    </row>
    <row r="10" spans="1:7">
      <c r="D10" s="115" t="str">
        <f>IF(G10&gt;=1,"Model invalid because:","")</f>
        <v/>
      </c>
      <c r="F10" s="11" t="s">
        <v>9</v>
      </c>
      <c r="G10" s="68">
        <f>C4/C5</f>
        <v>0.9</v>
      </c>
    </row>
    <row r="11" spans="1:7" ht="15.75">
      <c r="D11" s="116" t="str">
        <f>IF(G10&gt;=1,"   r   &gt;=   1","")</f>
        <v/>
      </c>
      <c r="F11" s="67"/>
      <c r="G11" s="68"/>
    </row>
    <row r="12" spans="1:7" ht="15" thickBot="1">
      <c r="C12" s="58"/>
      <c r="F12" s="75" t="s">
        <v>36</v>
      </c>
      <c r="G12" s="76">
        <f>IF(G10&lt;1,1-G10,NA())</f>
        <v>9.9999999999999978E-2</v>
      </c>
    </row>
    <row r="15" spans="1:7">
      <c r="C15" s="58"/>
    </row>
    <row r="16" spans="1:7">
      <c r="B16" s="50"/>
      <c r="C16" s="50"/>
    </row>
    <row r="17" spans="2:3">
      <c r="B17" s="50"/>
      <c r="C17" s="50"/>
    </row>
    <row r="18" spans="2:3">
      <c r="B18" s="50"/>
    </row>
    <row r="19" spans="2:3">
      <c r="B19" s="50"/>
    </row>
    <row r="20" spans="2:3">
      <c r="B20" s="50"/>
    </row>
  </sheetData>
  <phoneticPr fontId="0" type="noConversion"/>
  <dataValidations count="3">
    <dataValidation type="decimal" operator="greaterThan" allowBlank="1" showInputMessage="1" showErrorMessage="1" error="The arrival rate must be greater than zero." sqref="C4">
      <formula1>0</formula1>
    </dataValidation>
    <dataValidation type="decimal" operator="greaterThan" allowBlank="1" showInputMessage="1" showErrorMessage="1" error="The mean service rate must be greater than zero." sqref="C5">
      <formula1>0</formula1>
    </dataValidation>
    <dataValidation type="decimal" operator="equal" allowBlank="1" showInputMessage="1" showErrorMessage="1" error="The number of servers must equal one." sqref="C6">
      <formula1>1</formula1>
    </dataValidation>
  </dataValidations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20"/>
  <sheetViews>
    <sheetView workbookViewId="0">
      <selection activeCell="C6" sqref="C6"/>
    </sheetView>
  </sheetViews>
  <sheetFormatPr defaultColWidth="10.7109375" defaultRowHeight="12.75"/>
  <cols>
    <col min="1" max="1" width="2.7109375" style="50" customWidth="1"/>
    <col min="2" max="2" width="10.7109375" style="56" customWidth="1"/>
    <col min="3" max="3" width="9.42578125" style="57" customWidth="1"/>
    <col min="4" max="4" width="17.28515625" style="50" customWidth="1"/>
    <col min="5" max="5" width="4.7109375" style="50" customWidth="1"/>
    <col min="6" max="6" width="5.85546875" style="56" customWidth="1"/>
    <col min="7" max="16384" width="10.7109375" style="50"/>
  </cols>
  <sheetData>
    <row r="1" spans="1:7" ht="15.75">
      <c r="A1" s="55" t="s">
        <v>29</v>
      </c>
    </row>
    <row r="3" spans="1:7" ht="13.5" thickBot="1">
      <c r="C3" s="58" t="s">
        <v>0</v>
      </c>
      <c r="F3" s="59" t="s">
        <v>1</v>
      </c>
      <c r="G3" s="59"/>
    </row>
    <row r="4" spans="1:7">
      <c r="B4" s="3" t="s">
        <v>2</v>
      </c>
      <c r="C4" s="77">
        <v>9</v>
      </c>
      <c r="D4" s="61" t="s">
        <v>23</v>
      </c>
      <c r="E4" s="62"/>
      <c r="F4" s="63" t="s">
        <v>3</v>
      </c>
      <c r="G4" s="64">
        <f>IF(G10&lt;1,G5+C4/C5,NA())</f>
        <v>6.9750000000000023</v>
      </c>
    </row>
    <row r="5" spans="1:7" ht="14.25">
      <c r="B5" s="4" t="s">
        <v>4</v>
      </c>
      <c r="C5" s="80">
        <v>10</v>
      </c>
      <c r="D5" s="66" t="s">
        <v>24</v>
      </c>
      <c r="E5" s="62"/>
      <c r="F5" s="67" t="s">
        <v>34</v>
      </c>
      <c r="G5" s="68">
        <f>IF(G10&lt;1,(C6+1)/(2*C6)*(G10^2)/(1-G10),NA())</f>
        <v>6.075000000000002</v>
      </c>
    </row>
    <row r="6" spans="1:7">
      <c r="B6" s="65" t="s">
        <v>12</v>
      </c>
      <c r="C6" s="80">
        <v>2</v>
      </c>
      <c r="D6" s="66" t="s">
        <v>13</v>
      </c>
      <c r="E6" s="62"/>
      <c r="F6" s="67"/>
      <c r="G6" s="68"/>
    </row>
    <row r="7" spans="1:7" ht="13.5" thickBot="1">
      <c r="B7" s="69" t="s">
        <v>5</v>
      </c>
      <c r="C7" s="82">
        <v>1</v>
      </c>
      <c r="D7" s="70" t="s">
        <v>6</v>
      </c>
      <c r="E7" s="62"/>
      <c r="F7" s="67" t="s">
        <v>7</v>
      </c>
      <c r="G7" s="68">
        <f>IF(G10&lt;1,G4/C4,NA())</f>
        <v>0.77500000000000024</v>
      </c>
    </row>
    <row r="8" spans="1:7" ht="14.25">
      <c r="B8" s="50"/>
      <c r="C8" s="50"/>
      <c r="F8" s="67" t="s">
        <v>35</v>
      </c>
      <c r="G8" s="68">
        <f>IF(G10&lt;1,G5/C4,NA())</f>
        <v>0.67500000000000027</v>
      </c>
    </row>
    <row r="9" spans="1:7">
      <c r="B9" s="50"/>
      <c r="C9" s="50"/>
      <c r="F9" s="67"/>
      <c r="G9" s="68"/>
    </row>
    <row r="10" spans="1:7">
      <c r="D10" s="115" t="str">
        <f>IF(G10&gt;=1,"Model invalid because:","")</f>
        <v/>
      </c>
      <c r="F10" s="11" t="s">
        <v>9</v>
      </c>
      <c r="G10" s="68">
        <f>C4/C5</f>
        <v>0.9</v>
      </c>
    </row>
    <row r="11" spans="1:7" ht="15.75">
      <c r="D11" s="116" t="str">
        <f>IF(G10&gt;=1,"   r   &gt;=   1","")</f>
        <v/>
      </c>
      <c r="F11" s="67"/>
      <c r="G11" s="68"/>
    </row>
    <row r="12" spans="1:7" ht="15" thickBot="1">
      <c r="C12" s="58"/>
      <c r="F12" s="75" t="s">
        <v>36</v>
      </c>
      <c r="G12" s="76">
        <f>IF(G10&lt;1,1-G10,NA())</f>
        <v>9.9999999999999978E-2</v>
      </c>
    </row>
    <row r="15" spans="1:7">
      <c r="C15" s="58"/>
    </row>
    <row r="16" spans="1:7">
      <c r="B16" s="50"/>
      <c r="C16" s="50"/>
    </row>
    <row r="17" spans="2:3">
      <c r="B17" s="50"/>
      <c r="C17" s="50"/>
    </row>
    <row r="18" spans="2:3">
      <c r="B18" s="50"/>
    </row>
    <row r="19" spans="2:3">
      <c r="B19" s="50"/>
    </row>
    <row r="20" spans="2:3">
      <c r="B20" s="50"/>
    </row>
  </sheetData>
  <phoneticPr fontId="0" type="noConversion"/>
  <dataValidations count="1">
    <dataValidation type="whole" operator="equal" allowBlank="1" showInputMessage="1" showErrorMessage="1" error="The number of servers must equal one." sqref="C7">
      <formula1>1</formula1>
    </dataValidation>
  </dataValidations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3"/>
  <sheetViews>
    <sheetView workbookViewId="0">
      <selection activeCell="I12" sqref="I12"/>
    </sheetView>
  </sheetViews>
  <sheetFormatPr defaultColWidth="10.7109375" defaultRowHeight="12.75"/>
  <cols>
    <col min="1" max="1" width="2.7109375" style="50" customWidth="1"/>
    <col min="2" max="2" width="14.140625" style="56" customWidth="1"/>
    <col min="3" max="3" width="9.7109375" style="57" customWidth="1"/>
    <col min="4" max="4" width="9.7109375" style="50" customWidth="1"/>
    <col min="5" max="5" width="9.7109375" style="56" customWidth="1"/>
    <col min="6" max="7" width="9.7109375" style="50" customWidth="1"/>
    <col min="8" max="16384" width="10.7109375" style="50"/>
  </cols>
  <sheetData>
    <row r="1" spans="1:8" ht="15.75">
      <c r="A1" s="55" t="s">
        <v>30</v>
      </c>
    </row>
    <row r="3" spans="1:8" ht="13.5" thickBot="1">
      <c r="C3" s="58"/>
    </row>
    <row r="4" spans="1:8">
      <c r="B4" s="60" t="s">
        <v>14</v>
      </c>
      <c r="C4" s="77">
        <v>4</v>
      </c>
      <c r="D4" s="78" t="s">
        <v>15</v>
      </c>
      <c r="E4" s="79"/>
    </row>
    <row r="5" spans="1:8">
      <c r="B5" s="4" t="s">
        <v>4</v>
      </c>
      <c r="C5" s="80">
        <v>11</v>
      </c>
      <c r="D5" s="62" t="s">
        <v>24</v>
      </c>
      <c r="E5" s="81"/>
    </row>
    <row r="6" spans="1:8" ht="13.5" thickBot="1">
      <c r="B6" s="69" t="s">
        <v>5</v>
      </c>
      <c r="C6" s="100">
        <v>1</v>
      </c>
      <c r="D6" s="83" t="s">
        <v>6</v>
      </c>
      <c r="E6" s="84"/>
    </row>
    <row r="8" spans="1:8" ht="13.5" thickBot="1">
      <c r="D8" s="58"/>
    </row>
    <row r="9" spans="1:8" ht="14.25">
      <c r="B9" s="101"/>
      <c r="C9" s="6" t="s">
        <v>62</v>
      </c>
      <c r="D9" s="86" t="s">
        <v>16</v>
      </c>
      <c r="E9" s="87" t="s">
        <v>17</v>
      </c>
      <c r="F9" s="87" t="s">
        <v>18</v>
      </c>
      <c r="G9" s="88" t="s">
        <v>19</v>
      </c>
      <c r="H9" s="102"/>
    </row>
    <row r="10" spans="1:8">
      <c r="B10" s="103" t="str">
        <f>IF($C$4&gt;=1,"Priority Class 1","")</f>
        <v>Priority Class 1</v>
      </c>
      <c r="C10" s="104">
        <f>0.05*10</f>
        <v>0.5</v>
      </c>
      <c r="D10" s="91">
        <f>IF(C4&gt;=1,F10*C10,"")</f>
        <v>8.8744588744588737E-2</v>
      </c>
      <c r="E10" s="92">
        <f>IF(C4&gt;=1,G10*C10,"")</f>
        <v>4.3290043290043281E-2</v>
      </c>
      <c r="F10" s="92">
        <f>IF(C4&gt;=1,1/((FACT(C6)*((C5*C6)-C15)/((C15/C5)^C6)*sumxpf(C15/C5,0,C6-1)+C5*C6)*(1-C10/(C5*C6)))+1/C5,"")</f>
        <v>0.17748917748917747</v>
      </c>
      <c r="G10" s="93">
        <f>IF(C4&gt;=1,F10-1/C5,"")</f>
        <v>8.6580086580086563E-2</v>
      </c>
      <c r="H10" s="74"/>
    </row>
    <row r="11" spans="1:8">
      <c r="B11" s="103" t="str">
        <f>IF($C$4&gt;=2,"Priority Class 2","")</f>
        <v>Priority Class 2</v>
      </c>
      <c r="C11" s="104">
        <f>0.2*10</f>
        <v>2</v>
      </c>
      <c r="D11" s="91">
        <f>IF(C4&gt;=2,F11*C11,"")</f>
        <v>0.40590781767252354</v>
      </c>
      <c r="E11" s="92">
        <f>IF(C4&gt;=2,G11*C11,"")</f>
        <v>0.22408963585434172</v>
      </c>
      <c r="F11" s="92">
        <f>IF(C4&gt;=2,1/((FACT(C6)*((C5*C6)-C15)/((C15/C5)^C6)*sumxpf(C15/C5,0,C6-1)+C5*C6)*(1-C10/(C5*C6))*(1-SUM(C10:C11)/(C5*C6)))+1/C5,"")</f>
        <v>0.20295390883626177</v>
      </c>
      <c r="G11" s="93">
        <f>IF(C4&gt;=2,F11-1/C5,"")</f>
        <v>0.11204481792717086</v>
      </c>
      <c r="H11" s="74"/>
    </row>
    <row r="12" spans="1:8">
      <c r="B12" s="103" t="str">
        <f>IF($C$4&gt;=3,"Priority Class 3","")</f>
        <v>Priority Class 3</v>
      </c>
      <c r="C12" s="104">
        <f>0.3*10</f>
        <v>3</v>
      </c>
      <c r="D12" s="91">
        <f>IF(C4&gt;=3,F12*C12,"")</f>
        <v>0.91443850267379678</v>
      </c>
      <c r="E12" s="92">
        <f>IF(C4&gt;=3,G12*C12,"")</f>
        <v>0.64171122994652408</v>
      </c>
      <c r="F12" s="92">
        <f>IF(C4&gt;=3,1/((FACT(C6)*((C5*C6)-C15)/((C15/C5)^C6)*sumxpf(C15/C5,0,C6-1)+C5*C6)*(1-SUM(C10:C11)/(C5*C6))*(1-SUM(C10:C12)/(C5*C6)))+1/C5,"")</f>
        <v>0.30481283422459893</v>
      </c>
      <c r="G12" s="93">
        <f>IF(C4&gt;=3,F12-1/C5,"")</f>
        <v>0.21390374331550802</v>
      </c>
      <c r="H12" s="74"/>
    </row>
    <row r="13" spans="1:8">
      <c r="B13" s="103" t="str">
        <f>IF($C$4&gt;=4,"Priority Class 4","")</f>
        <v>Priority Class 4</v>
      </c>
      <c r="C13" s="104">
        <f>0.45*10</f>
        <v>4.5</v>
      </c>
      <c r="D13" s="91">
        <f>IF(C4&gt;=4,F13*C13,"")</f>
        <v>8.5909090909090882</v>
      </c>
      <c r="E13" s="92">
        <f>IF(C4&gt;=4,G13*C13,"")</f>
        <v>8.1818181818181799</v>
      </c>
      <c r="F13" s="92">
        <f>IF(C4&gt;=4,1/((FACT(C6)*((C5*C6)-C15)/((C15/C5)^C6)*sumxpf(C15/C5,0,C6-1)+C5*C6)*(1-SUM(C10:C12)/(C5*C6))*(1-SUM(C10:C13)/(C5*C6)))+1/C5,"")</f>
        <v>1.9090909090909085</v>
      </c>
      <c r="G13" s="93">
        <f>IF(C4&gt;=4,F13-1/C5,"")</f>
        <v>1.8181818181818177</v>
      </c>
      <c r="H13" s="74"/>
    </row>
    <row r="14" spans="1:8" ht="13.5" thickBot="1">
      <c r="B14" s="105" t="str">
        <f>IF($C$4&gt;=5,"Priority Class 5","")</f>
        <v/>
      </c>
      <c r="C14" s="106"/>
      <c r="D14" s="96" t="str">
        <f>IF(C4&gt;=5,F14*C14,"")</f>
        <v/>
      </c>
      <c r="E14" s="97" t="str">
        <f>IF(C4&gt;=5,G14*C14,"")</f>
        <v/>
      </c>
      <c r="F14" s="97" t="str">
        <f>IF(C4&gt;=5,1/((FACT(C6)*((C5*C6)-C15)/((C15/C5)^C6)*sumxpf(C15/C5,0,C6-1)+C5*C6)*(1-SUM(C10:C13)/(C5*C6))*(1-SUM(C10:C14)/(C5*C6)))+1/C5,"")</f>
        <v/>
      </c>
      <c r="G14" s="98" t="str">
        <f>IF(C4&gt;=5,F14-1/C5,"")</f>
        <v/>
      </c>
      <c r="H14" s="74"/>
    </row>
    <row r="15" spans="1:8">
      <c r="B15" s="12" t="s">
        <v>2</v>
      </c>
      <c r="C15" s="99">
        <f>C16*C5*C6</f>
        <v>10</v>
      </c>
      <c r="D15" s="57"/>
      <c r="E15" s="57"/>
      <c r="F15" s="57"/>
      <c r="G15" s="57"/>
    </row>
    <row r="16" spans="1:8" ht="13.5" thickBot="1">
      <c r="B16" s="13" t="s">
        <v>9</v>
      </c>
      <c r="C16" s="98">
        <f>IF(C4=1,C10/(C6*C5),IF(C4=2,SUM(C10:C11)/(C5*C6),IF(C4=3,SUM(C10:C12)/(C6*C5),IF(C4=4,SUM(C10:C13)/(C5*C6),IF(C4=5,SUM(C10:C14)/(C5*C6))))))</f>
        <v>0.90909090909090906</v>
      </c>
      <c r="D16" s="57"/>
      <c r="E16" s="115" t="str">
        <f>IF(C16&gt;=1,"Model invalid because:","")</f>
        <v/>
      </c>
      <c r="F16" s="57"/>
      <c r="G16" s="57"/>
    </row>
    <row r="17" spans="2:8" ht="15.75">
      <c r="B17" s="50"/>
      <c r="C17" s="50"/>
      <c r="D17" s="57"/>
      <c r="E17" s="116" t="str">
        <f>IF(C16&gt;=1,"   r   &gt;=   1","")</f>
        <v/>
      </c>
      <c r="F17" s="57"/>
      <c r="G17" s="57"/>
      <c r="H17" s="50">
        <f>SUM(D10:D13)</f>
        <v>9.9999999999999964</v>
      </c>
    </row>
    <row r="18" spans="2:8">
      <c r="D18" s="57"/>
      <c r="E18" s="57"/>
      <c r="F18" s="57"/>
      <c r="G18" s="57"/>
    </row>
    <row r="19" spans="2:8">
      <c r="D19" s="57"/>
      <c r="E19" s="57"/>
      <c r="F19" s="57"/>
      <c r="G19" s="57"/>
    </row>
    <row r="20" spans="2:8">
      <c r="D20" s="57"/>
      <c r="E20" s="57"/>
      <c r="F20" s="57"/>
      <c r="G20" s="57"/>
    </row>
    <row r="21" spans="2:8">
      <c r="D21" s="57"/>
      <c r="E21" s="57"/>
      <c r="F21" s="57"/>
      <c r="G21" s="57"/>
    </row>
    <row r="22" spans="2:8">
      <c r="B22" s="50"/>
      <c r="C22" s="50"/>
      <c r="E22" s="50"/>
    </row>
    <row r="23" spans="2:8">
      <c r="B23" s="50"/>
      <c r="C23" s="50"/>
      <c r="E23" s="50"/>
    </row>
  </sheetData>
  <phoneticPr fontId="0" type="noConversion"/>
  <dataValidations count="4">
    <dataValidation type="whole" operator="greaterThanOrEqual" allowBlank="1" showInputMessage="1" showErrorMessage="1" error="The number of servers must be an integer greater than or equal to one." sqref="C6">
      <formula1>1</formula1>
    </dataValidation>
    <dataValidation type="whole" allowBlank="1" showInputMessage="1" showErrorMessage="1" error="The number of priority classes must be an integer between 1 and 5 (inclusive)." sqref="C4">
      <formula1>1</formula1>
      <formula2>5</formula2>
    </dataValidation>
    <dataValidation type="decimal" operator="greaterThan" allowBlank="1" showInputMessage="1" showErrorMessage="1" error="The mean service rate must be greater than zero." sqref="C5">
      <formula1>0</formula1>
    </dataValidation>
    <dataValidation type="decimal" operator="greaterThan" allowBlank="1" showInputMessage="1" showErrorMessage="1" error="The mean arrival rate for this priority class must be greater than zero." sqref="C10:C14">
      <formula1>0</formula1>
    </dataValidation>
  </dataValidations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23"/>
  <sheetViews>
    <sheetView workbookViewId="0">
      <selection activeCell="C4" sqref="C4"/>
    </sheetView>
  </sheetViews>
  <sheetFormatPr defaultColWidth="10.7109375" defaultRowHeight="12.75"/>
  <cols>
    <col min="1" max="1" width="2.7109375" style="50" customWidth="1"/>
    <col min="2" max="2" width="14" style="56" customWidth="1"/>
    <col min="3" max="3" width="9.7109375" style="57" customWidth="1"/>
    <col min="4" max="4" width="9.7109375" style="50" customWidth="1"/>
    <col min="5" max="5" width="9.7109375" style="56" customWidth="1"/>
    <col min="6" max="7" width="9.7109375" style="50" customWidth="1"/>
    <col min="8" max="16384" width="10.7109375" style="50"/>
  </cols>
  <sheetData>
    <row r="1" spans="1:8" ht="15.75">
      <c r="A1" s="55" t="s">
        <v>31</v>
      </c>
    </row>
    <row r="3" spans="1:8" ht="13.5" thickBot="1">
      <c r="C3" s="58"/>
    </row>
    <row r="4" spans="1:8">
      <c r="B4" s="60" t="s">
        <v>14</v>
      </c>
      <c r="C4" s="77">
        <v>3</v>
      </c>
      <c r="D4" s="78" t="s">
        <v>15</v>
      </c>
      <c r="E4" s="79"/>
    </row>
    <row r="5" spans="1:8">
      <c r="B5" s="4" t="s">
        <v>4</v>
      </c>
      <c r="C5" s="80">
        <v>8</v>
      </c>
      <c r="D5" s="62" t="s">
        <v>24</v>
      </c>
      <c r="E5" s="81"/>
    </row>
    <row r="6" spans="1:8" ht="13.5" thickBot="1">
      <c r="B6" s="69" t="s">
        <v>5</v>
      </c>
      <c r="C6" s="82">
        <v>1</v>
      </c>
      <c r="D6" s="83" t="s">
        <v>6</v>
      </c>
      <c r="E6" s="84"/>
    </row>
    <row r="7" spans="1:8">
      <c r="C7" s="58"/>
    </row>
    <row r="8" spans="1:8" ht="13.5" thickBot="1">
      <c r="D8" s="58"/>
    </row>
    <row r="9" spans="1:8" ht="14.25">
      <c r="B9" s="85"/>
      <c r="C9" s="5" t="s">
        <v>62</v>
      </c>
      <c r="D9" s="86" t="s">
        <v>16</v>
      </c>
      <c r="E9" s="87" t="s">
        <v>17</v>
      </c>
      <c r="F9" s="87" t="s">
        <v>18</v>
      </c>
      <c r="G9" s="88" t="s">
        <v>19</v>
      </c>
      <c r="H9" s="89"/>
    </row>
    <row r="10" spans="1:8">
      <c r="B10" s="65" t="str">
        <f>IF($C$4&gt;=1,"Priority Class 1","")</f>
        <v>Priority Class 1</v>
      </c>
      <c r="C10" s="90">
        <v>1</v>
      </c>
      <c r="D10" s="91">
        <f>IF(C4&gt;=1,F10*C10,"")</f>
        <v>0.14285714285714285</v>
      </c>
      <c r="E10" s="92">
        <f>IF(C4&gt;=1,G10*C10,"")</f>
        <v>1.7857142857142849E-2</v>
      </c>
      <c r="F10" s="92">
        <f>IF(C4&gt;=1,1/C5/(1-C10/C5),"")</f>
        <v>0.14285714285714285</v>
      </c>
      <c r="G10" s="93">
        <f>IF(C4&gt;=1,F10-1/C5,"")</f>
        <v>1.7857142857142849E-2</v>
      </c>
      <c r="H10" s="89">
        <f>(1-C10/(C5*C6))</f>
        <v>0.875</v>
      </c>
    </row>
    <row r="11" spans="1:8">
      <c r="B11" s="65" t="str">
        <f>IF($C$4&gt;=2,"Priority Class 2","")</f>
        <v>Priority Class 2</v>
      </c>
      <c r="C11" s="90">
        <v>1</v>
      </c>
      <c r="D11" s="91">
        <f>IF(C4&gt;=2,F11*C11,"")</f>
        <v>0.19047619047619047</v>
      </c>
      <c r="E11" s="92">
        <f>IF(C4&gt;=2,G11*C11,"")</f>
        <v>6.5476190476190466E-2</v>
      </c>
      <c r="F11" s="92">
        <f>IF(C4&gt;=2,1/C5/((1-C10/C5)*(1-SUM(C10:C11)/C5)),"")</f>
        <v>0.19047619047619047</v>
      </c>
      <c r="G11" s="93">
        <f>IF(C4&gt;=2,F11-1/C5,"")</f>
        <v>6.5476190476190466E-2</v>
      </c>
      <c r="H11" s="89">
        <f>(1-SUM(C10:C11)/(C5*C6))</f>
        <v>0.75</v>
      </c>
    </row>
    <row r="12" spans="1:8">
      <c r="B12" s="65" t="str">
        <f>IF($C$4&gt;=3,"Priority Class 3","")</f>
        <v>Priority Class 3</v>
      </c>
      <c r="C12" s="90">
        <v>1</v>
      </c>
      <c r="D12" s="91">
        <f>IF(C4&gt;=3,F12*C12,"")</f>
        <v>0.26666666666666666</v>
      </c>
      <c r="E12" s="92">
        <f>IF(C4&gt;=3,G12*C12,"")</f>
        <v>0.14166666666666666</v>
      </c>
      <c r="F12" s="92">
        <f>IF(C4&gt;=3,1/C5/((1-SUM(C10:C11)/C5)*(1-SUM(C10:C12)/C5)),"")</f>
        <v>0.26666666666666666</v>
      </c>
      <c r="G12" s="93">
        <f>IF(C4&gt;=3,F12-1/C5,"")</f>
        <v>0.14166666666666666</v>
      </c>
      <c r="H12" s="89">
        <f>(1-SUM(C10:C12)/(C5*C6))</f>
        <v>0.625</v>
      </c>
    </row>
    <row r="13" spans="1:8">
      <c r="B13" s="65" t="str">
        <f>IF($C$4&gt;=4,"Priority Class 4","")</f>
        <v/>
      </c>
      <c r="C13" s="94"/>
      <c r="D13" s="91" t="str">
        <f>IF(C4&gt;=4,F13*C13,"")</f>
        <v/>
      </c>
      <c r="E13" s="92" t="str">
        <f>IF(C4&gt;=4,G13*C13,"")</f>
        <v/>
      </c>
      <c r="F13" s="92" t="str">
        <f>IF(C4&gt;=4,1/C5/((1-SUM(C10:C12)/C5)*(1-SUM(C10:C13)/C5)),"")</f>
        <v/>
      </c>
      <c r="G13" s="93" t="str">
        <f>IF(C4&gt;=4,F13-1/C5,"")</f>
        <v/>
      </c>
      <c r="H13" s="89">
        <f>(1-SUM(C10:C13)/(C5*C6))</f>
        <v>0.625</v>
      </c>
    </row>
    <row r="14" spans="1:8" ht="13.5" thickBot="1">
      <c r="B14" s="69" t="str">
        <f>IF($C$4&gt;=5,"Priority Class 5","")</f>
        <v/>
      </c>
      <c r="C14" s="95"/>
      <c r="D14" s="96" t="str">
        <f>IF(C4&gt;=5,F14*C14,"")</f>
        <v/>
      </c>
      <c r="E14" s="97" t="str">
        <f>IF(C4&gt;=5,G14*C14,"")</f>
        <v/>
      </c>
      <c r="F14" s="97" t="str">
        <f>IF(C4&gt;=5,1/C5/((1-SUM(C10:C13)/C5)*(1-SUM(C10:C14)/C5)),"")</f>
        <v/>
      </c>
      <c r="G14" s="98" t="str">
        <f>IF(C4&gt;=5,F14-1/C5,"")</f>
        <v/>
      </c>
      <c r="H14" s="89">
        <f>(1-SUM(C10:C14)/(C5*C6))</f>
        <v>0.625</v>
      </c>
    </row>
    <row r="15" spans="1:8">
      <c r="B15" s="12" t="s">
        <v>2</v>
      </c>
      <c r="C15" s="99">
        <f>C16*C5</f>
        <v>3</v>
      </c>
      <c r="D15" s="57"/>
      <c r="E15" s="57"/>
      <c r="F15" s="57"/>
      <c r="G15" s="57"/>
    </row>
    <row r="16" spans="1:8" ht="13.5" thickBot="1">
      <c r="B16" s="13" t="s">
        <v>9</v>
      </c>
      <c r="C16" s="98">
        <f>IF(C4=1,C10/C5,IF(C4=2,SUM(C10:C11)/C5,IF(C4=3,SUM(C10:C12)/C5,IF(C4=4,SUM(C10:C13)/C5,IF(C4=5,SUM(C10:C14)/C5)))))</f>
        <v>0.375</v>
      </c>
      <c r="D16" s="57"/>
      <c r="E16" s="115" t="str">
        <f>IF(C16&gt;=1,"Model invalid because:","")</f>
        <v/>
      </c>
      <c r="F16" s="57"/>
      <c r="G16" s="57"/>
    </row>
    <row r="17" spans="2:7" ht="15.75">
      <c r="B17" s="50"/>
      <c r="C17" s="50"/>
      <c r="D17" s="57"/>
      <c r="E17" s="116" t="str">
        <f>IF(C16&gt;=1,"   r   &gt;=   1","")</f>
        <v/>
      </c>
      <c r="F17" s="57"/>
      <c r="G17" s="57"/>
    </row>
    <row r="18" spans="2:7">
      <c r="D18" s="57"/>
      <c r="E18" s="57"/>
      <c r="F18" s="57"/>
      <c r="G18" s="57"/>
    </row>
    <row r="19" spans="2:7">
      <c r="D19" s="57"/>
      <c r="E19" s="57"/>
      <c r="F19" s="57"/>
      <c r="G19" s="57"/>
    </row>
    <row r="20" spans="2:7">
      <c r="D20" s="57"/>
      <c r="E20" s="57"/>
      <c r="F20" s="57"/>
      <c r="G20" s="57"/>
    </row>
    <row r="21" spans="2:7">
      <c r="D21" s="57"/>
      <c r="E21" s="57"/>
      <c r="F21" s="57"/>
      <c r="G21" s="57"/>
    </row>
    <row r="22" spans="2:7">
      <c r="B22" s="50"/>
      <c r="C22" s="50"/>
      <c r="E22" s="50"/>
    </row>
    <row r="23" spans="2:7">
      <c r="B23" s="50"/>
      <c r="C23" s="50"/>
      <c r="E23" s="50"/>
    </row>
  </sheetData>
  <phoneticPr fontId="0" type="noConversion"/>
  <dataValidations count="4">
    <dataValidation type="whole" allowBlank="1" showInputMessage="1" showErrorMessage="1" error="The number of priority classes must be an integer between 1 and 5 (inclusive)." sqref="C4">
      <formula1>1</formula1>
      <formula2>5</formula2>
    </dataValidation>
    <dataValidation type="decimal" operator="greaterThan" allowBlank="1" showInputMessage="1" showErrorMessage="1" error="The mean service rate must be greater than zero." sqref="C5">
      <formula1>0</formula1>
    </dataValidation>
    <dataValidation type="whole" operator="equal" allowBlank="1" showInputMessage="1" showErrorMessage="1" error="The number of servers must equal one." sqref="C6">
      <formula1>1</formula1>
    </dataValidation>
    <dataValidation type="decimal" operator="greaterThan" allowBlank="1" showInputMessage="1" showErrorMessage="1" error="The arrival rate for this priority class must be greater than zero." sqref="C10:C14">
      <formula1>0</formula1>
    </dataValidation>
  </dataValidations>
  <pageMargins left="0.75" right="0.75" top="1" bottom="1" header="0.5" footer="0.5"/>
  <pageSetup paperSize="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Contents</vt:lpstr>
      <vt:lpstr>M|M|s</vt:lpstr>
      <vt:lpstr>Finite Queue</vt:lpstr>
      <vt:lpstr>Finite Calling Population</vt:lpstr>
      <vt:lpstr>M|G|1</vt:lpstr>
      <vt:lpstr>M|D|1</vt:lpstr>
      <vt:lpstr>M|E|1</vt:lpstr>
      <vt:lpstr>Nonpreemptive Priorities</vt:lpstr>
      <vt:lpstr>Preemptive Priorities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Bilena Almeida</cp:lastModifiedBy>
  <dcterms:created xsi:type="dcterms:W3CDTF">1998-08-18T16:12:25Z</dcterms:created>
  <dcterms:modified xsi:type="dcterms:W3CDTF">2015-11-21T22:24:49Z</dcterms:modified>
</cp:coreProperties>
</file>